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Ajay Pruthi\Desktop\Retirement Calculator\"/>
    </mc:Choice>
  </mc:AlternateContent>
  <xr:revisionPtr revIDLastSave="0" documentId="13_ncr:1_{2D7CFFFF-C8E7-44B5-B683-C7024460405E}" xr6:coauthVersionLast="47" xr6:coauthVersionMax="47" xr10:uidLastSave="{00000000-0000-0000-0000-000000000000}"/>
  <bookViews>
    <workbookView xWindow="-110" yWindow="-110" windowWidth="19420" windowHeight="10300" xr2:uid="{4F74E264-D965-4435-BAC3-1B4265ED91F5}"/>
  </bookViews>
  <sheets>
    <sheet name="Retirement Amount" sheetId="3" r:id="rId1"/>
    <sheet name="Cash Flow after retirement" sheetId="4" r:id="rId2"/>
    <sheet name="FIRE Numbers" sheetId="5"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4" i="3" l="1"/>
  <c r="F5" i="3"/>
  <c r="K2" i="4"/>
  <c r="F8" i="3"/>
  <c r="C3" i="5" l="1"/>
  <c r="E3" i="5"/>
  <c r="E25" i="4"/>
  <c r="K3" i="4"/>
  <c r="F3" i="4" s="1"/>
  <c r="C4" i="5" l="1"/>
  <c r="Q8" i="5"/>
  <c r="AC3" i="5"/>
  <c r="E4" i="5"/>
  <c r="Q7" i="5"/>
  <c r="S6" i="5"/>
  <c r="Q6" i="5"/>
  <c r="AA3" i="5"/>
  <c r="F54" i="4"/>
  <c r="F4" i="4"/>
  <c r="F17" i="4"/>
  <c r="F5" i="4"/>
  <c r="F37" i="4"/>
  <c r="F9" i="4"/>
  <c r="F22" i="4"/>
  <c r="F38" i="4"/>
  <c r="F21" i="4"/>
  <c r="F10" i="4"/>
  <c r="F26" i="4"/>
  <c r="F40" i="4"/>
  <c r="F6" i="4"/>
  <c r="F20" i="4"/>
  <c r="F8" i="4"/>
  <c r="F12" i="4"/>
  <c r="F28" i="4"/>
  <c r="F41" i="4"/>
  <c r="F30" i="4"/>
  <c r="F18" i="4"/>
  <c r="F32" i="4"/>
  <c r="F33" i="4"/>
  <c r="F16" i="4"/>
  <c r="F29" i="4"/>
  <c r="F42" i="4"/>
  <c r="F44" i="4"/>
  <c r="F49" i="4"/>
  <c r="F50" i="4"/>
  <c r="F48" i="4"/>
  <c r="F52" i="4"/>
  <c r="F53" i="4"/>
  <c r="F45" i="4"/>
  <c r="F55" i="4"/>
  <c r="F13" i="4"/>
  <c r="F24" i="4"/>
  <c r="F34" i="4"/>
  <c r="F14" i="4"/>
  <c r="F25" i="4"/>
  <c r="F36" i="4"/>
  <c r="F46" i="4"/>
  <c r="E54" i="4"/>
  <c r="E50" i="4"/>
  <c r="E46" i="4"/>
  <c r="E42" i="4"/>
  <c r="E38" i="4"/>
  <c r="E34" i="4"/>
  <c r="E30" i="4"/>
  <c r="E26" i="4"/>
  <c r="E22" i="4"/>
  <c r="E18" i="4"/>
  <c r="E14" i="4"/>
  <c r="E10" i="4"/>
  <c r="E6" i="4"/>
  <c r="E52" i="4"/>
  <c r="E40" i="4"/>
  <c r="E36" i="4"/>
  <c r="E8" i="4"/>
  <c r="E4" i="4"/>
  <c r="E49" i="4"/>
  <c r="E3" i="4"/>
  <c r="E48" i="4"/>
  <c r="E44" i="4"/>
  <c r="E32" i="4"/>
  <c r="E28" i="4"/>
  <c r="E24" i="4"/>
  <c r="E20" i="4"/>
  <c r="E16" i="4"/>
  <c r="E12" i="4"/>
  <c r="E37" i="4"/>
  <c r="E55" i="4"/>
  <c r="E51" i="4"/>
  <c r="E47" i="4"/>
  <c r="E43" i="4"/>
  <c r="E39" i="4"/>
  <c r="E35" i="4"/>
  <c r="E31" i="4"/>
  <c r="E27" i="4"/>
  <c r="E23" i="4"/>
  <c r="E19" i="4"/>
  <c r="E15" i="4"/>
  <c r="E11" i="4"/>
  <c r="E7" i="4"/>
  <c r="E53" i="4"/>
  <c r="E45" i="4"/>
  <c r="E41" i="4"/>
  <c r="E33" i="4"/>
  <c r="E5" i="4"/>
  <c r="E9" i="4"/>
  <c r="E13" i="4"/>
  <c r="E17" i="4"/>
  <c r="E21" i="4"/>
  <c r="E29" i="4"/>
  <c r="F7" i="4"/>
  <c r="F11" i="4"/>
  <c r="F15" i="4"/>
  <c r="F19" i="4"/>
  <c r="F23" i="4"/>
  <c r="F27" i="4"/>
  <c r="F31" i="4"/>
  <c r="F35" i="4"/>
  <c r="F39" i="4"/>
  <c r="F43" i="4"/>
  <c r="F47" i="4"/>
  <c r="F51" i="4"/>
  <c r="C5" i="5" l="1"/>
  <c r="AC4" i="5"/>
  <c r="E5" i="5"/>
  <c r="AA4" i="5"/>
  <c r="B11" i="3"/>
  <c r="B12" i="3" s="1"/>
  <c r="F4" i="3"/>
  <c r="F12" i="3"/>
  <c r="C6" i="5" l="1"/>
  <c r="AC5" i="5"/>
  <c r="E6" i="5"/>
  <c r="AA5" i="5"/>
  <c r="B3" i="5"/>
  <c r="F6" i="3"/>
  <c r="F7" i="3" s="1"/>
  <c r="F9" i="3"/>
  <c r="F10" i="3" s="1"/>
  <c r="C7" i="5" l="1"/>
  <c r="AC6" i="5"/>
  <c r="E7" i="5"/>
  <c r="AA6" i="5"/>
  <c r="B13" i="3"/>
  <c r="B3" i="4" s="1"/>
  <c r="B4" i="5"/>
  <c r="D4" i="5" s="1"/>
  <c r="AB4" i="5" s="1"/>
  <c r="D3" i="5"/>
  <c r="K1" i="4"/>
  <c r="C3" i="4" s="1"/>
  <c r="C4" i="4" s="1"/>
  <c r="C8" i="5" l="1"/>
  <c r="AC7" i="5"/>
  <c r="U6" i="5"/>
  <c r="F8" i="5" s="1"/>
  <c r="AB3" i="5"/>
  <c r="E8" i="5"/>
  <c r="AA7" i="5"/>
  <c r="C5" i="4"/>
  <c r="B5" i="5"/>
  <c r="D5" i="5" s="1"/>
  <c r="AB5" i="5" s="1"/>
  <c r="A15" i="3"/>
  <c r="C14" i="3"/>
  <c r="D3" i="4"/>
  <c r="G3" i="4" s="1"/>
  <c r="B4" i="4" s="1"/>
  <c r="D4" i="4" s="1"/>
  <c r="G4" i="4" s="1"/>
  <c r="B5" i="4" s="1"/>
  <c r="H3" i="4"/>
  <c r="C9" i="5" l="1"/>
  <c r="AC8" i="5"/>
  <c r="E9" i="5"/>
  <c r="AA8" i="5"/>
  <c r="D5" i="4"/>
  <c r="G5" i="4" s="1"/>
  <c r="B6" i="4" s="1"/>
  <c r="H4" i="4"/>
  <c r="C6" i="4"/>
  <c r="H5" i="4"/>
  <c r="B6" i="5"/>
  <c r="D6" i="5" s="1"/>
  <c r="AB6" i="5" s="1"/>
  <c r="C10" i="5" l="1"/>
  <c r="AC9" i="5"/>
  <c r="E10" i="5"/>
  <c r="AA9" i="5"/>
  <c r="D6" i="4"/>
  <c r="G6" i="4" s="1"/>
  <c r="B7" i="4" s="1"/>
  <c r="C7" i="4"/>
  <c r="H6" i="4"/>
  <c r="B7" i="5"/>
  <c r="D7" i="5" s="1"/>
  <c r="AB7" i="5" s="1"/>
  <c r="C11" i="5" l="1"/>
  <c r="AC10" i="5"/>
  <c r="E11" i="5"/>
  <c r="AA10" i="5"/>
  <c r="C8" i="4"/>
  <c r="H7" i="4"/>
  <c r="B8" i="5"/>
  <c r="D8" i="5" s="1"/>
  <c r="AB8" i="5" s="1"/>
  <c r="D7" i="4"/>
  <c r="G7" i="4" s="1"/>
  <c r="B8" i="4" s="1"/>
  <c r="B9" i="5" l="1"/>
  <c r="D9" i="5" s="1"/>
  <c r="AB9" i="5" s="1"/>
  <c r="C12" i="5"/>
  <c r="AC11" i="5"/>
  <c r="E12" i="5"/>
  <c r="AA11" i="5"/>
  <c r="D8" i="4"/>
  <c r="G8" i="4" s="1"/>
  <c r="B9" i="4" s="1"/>
  <c r="C9" i="4"/>
  <c r="H8" i="4"/>
  <c r="B10" i="5" l="1"/>
  <c r="D10" i="5" s="1"/>
  <c r="AB10" i="5" s="1"/>
  <c r="C13" i="5"/>
  <c r="AC12" i="5"/>
  <c r="E13" i="5"/>
  <c r="AA12" i="5"/>
  <c r="C10" i="4"/>
  <c r="H9" i="4"/>
  <c r="D9" i="4"/>
  <c r="G9" i="4" s="1"/>
  <c r="B10" i="4" s="1"/>
  <c r="D10" i="4" s="1"/>
  <c r="G10" i="4" s="1"/>
  <c r="B11" i="4" s="1"/>
  <c r="B11" i="5"/>
  <c r="D11" i="5" s="1"/>
  <c r="AB11" i="5" s="1"/>
  <c r="C14" i="5" l="1"/>
  <c r="AC13" i="5"/>
  <c r="E14" i="5"/>
  <c r="AA13" i="5"/>
  <c r="C11" i="4"/>
  <c r="H10" i="4"/>
  <c r="B12" i="5"/>
  <c r="D12" i="5" s="1"/>
  <c r="AB12" i="5" s="1"/>
  <c r="C15" i="5" l="1"/>
  <c r="AC14" i="5"/>
  <c r="E15" i="5"/>
  <c r="AA14" i="5"/>
  <c r="C12" i="4"/>
  <c r="H11" i="4"/>
  <c r="D11" i="4"/>
  <c r="G11" i="4" s="1"/>
  <c r="B12" i="4" s="1"/>
  <c r="B13" i="5"/>
  <c r="D13" i="5" s="1"/>
  <c r="AB13" i="5" s="1"/>
  <c r="C16" i="5" l="1"/>
  <c r="AC15" i="5"/>
  <c r="E16" i="5"/>
  <c r="AA15" i="5"/>
  <c r="D12" i="4"/>
  <c r="G12" i="4" s="1"/>
  <c r="B13" i="4" s="1"/>
  <c r="C13" i="4"/>
  <c r="H12" i="4"/>
  <c r="B14" i="5"/>
  <c r="D14" i="5" s="1"/>
  <c r="AB14" i="5" s="1"/>
  <c r="C17" i="5" l="1"/>
  <c r="AC16" i="5"/>
  <c r="E17" i="5"/>
  <c r="AA16" i="5"/>
  <c r="C14" i="4"/>
  <c r="H13" i="4"/>
  <c r="D13" i="4"/>
  <c r="G13" i="4" s="1"/>
  <c r="B14" i="4" s="1"/>
  <c r="B15" i="5"/>
  <c r="D15" i="5" s="1"/>
  <c r="AB15" i="5" s="1"/>
  <c r="C18" i="5" l="1"/>
  <c r="AC17" i="5"/>
  <c r="E18" i="5"/>
  <c r="AA17" i="5"/>
  <c r="D14" i="4"/>
  <c r="G14" i="4" s="1"/>
  <c r="B15" i="4" s="1"/>
  <c r="C15" i="4"/>
  <c r="H14" i="4"/>
  <c r="B16" i="5"/>
  <c r="D16" i="5" s="1"/>
  <c r="AB16" i="5" s="1"/>
  <c r="C19" i="5" l="1"/>
  <c r="AC18" i="5"/>
  <c r="E19" i="5"/>
  <c r="AA18" i="5"/>
  <c r="C16" i="4"/>
  <c r="H15" i="4"/>
  <c r="D15" i="4"/>
  <c r="G15" i="4" s="1"/>
  <c r="B16" i="4" s="1"/>
  <c r="B17" i="5"/>
  <c r="D17" i="5" s="1"/>
  <c r="AB17" i="5" s="1"/>
  <c r="C20" i="5" l="1"/>
  <c r="AC19" i="5"/>
  <c r="E20" i="5"/>
  <c r="AA19" i="5"/>
  <c r="D16" i="4"/>
  <c r="G16" i="4" s="1"/>
  <c r="B17" i="4" s="1"/>
  <c r="C17" i="4"/>
  <c r="H16" i="4"/>
  <c r="B18" i="5"/>
  <c r="D18" i="5" s="1"/>
  <c r="AB18" i="5" s="1"/>
  <c r="C21" i="5" l="1"/>
  <c r="AC20" i="5"/>
  <c r="E21" i="5"/>
  <c r="AA20" i="5"/>
  <c r="C18" i="4"/>
  <c r="H17" i="4"/>
  <c r="D17" i="4"/>
  <c r="G17" i="4" s="1"/>
  <c r="B18" i="4" s="1"/>
  <c r="B19" i="5"/>
  <c r="D19" i="5" s="1"/>
  <c r="AB19" i="5" s="1"/>
  <c r="C22" i="5" l="1"/>
  <c r="AC21" i="5"/>
  <c r="E22" i="5"/>
  <c r="AA21" i="5"/>
  <c r="D18" i="4"/>
  <c r="G18" i="4" s="1"/>
  <c r="B19" i="4" s="1"/>
  <c r="C19" i="4"/>
  <c r="H18" i="4"/>
  <c r="B20" i="5"/>
  <c r="D20" i="5" s="1"/>
  <c r="AB20" i="5" s="1"/>
  <c r="C23" i="5" l="1"/>
  <c r="AC22" i="5"/>
  <c r="E23" i="5"/>
  <c r="AA22" i="5"/>
  <c r="D19" i="4"/>
  <c r="G19" i="4" s="1"/>
  <c r="B20" i="4" s="1"/>
  <c r="C20" i="4"/>
  <c r="H19" i="4"/>
  <c r="B21" i="5"/>
  <c r="D21" i="5" s="1"/>
  <c r="AB21" i="5" s="1"/>
  <c r="C24" i="5" l="1"/>
  <c r="AC23" i="5"/>
  <c r="E24" i="5"/>
  <c r="AA23" i="5"/>
  <c r="D20" i="4"/>
  <c r="G20" i="4" s="1"/>
  <c r="B21" i="4" s="1"/>
  <c r="C21" i="4"/>
  <c r="H20" i="4"/>
  <c r="B22" i="5"/>
  <c r="D22" i="5" s="1"/>
  <c r="AB22" i="5" s="1"/>
  <c r="C25" i="5" l="1"/>
  <c r="AC24" i="5"/>
  <c r="E25" i="5"/>
  <c r="AA24" i="5"/>
  <c r="C22" i="4"/>
  <c r="H21" i="4"/>
  <c r="D21" i="4"/>
  <c r="G21" i="4" s="1"/>
  <c r="B22" i="4" s="1"/>
  <c r="B23" i="5"/>
  <c r="D23" i="5" s="1"/>
  <c r="AB23" i="5" s="1"/>
  <c r="C26" i="5" l="1"/>
  <c r="AC25" i="5"/>
  <c r="E26" i="5"/>
  <c r="AA25" i="5"/>
  <c r="D22" i="4"/>
  <c r="G22" i="4" s="1"/>
  <c r="B23" i="4" s="1"/>
  <c r="C23" i="4"/>
  <c r="H22" i="4"/>
  <c r="B24" i="5"/>
  <c r="D24" i="5" s="1"/>
  <c r="AB24" i="5" s="1"/>
  <c r="C27" i="5" l="1"/>
  <c r="AC26" i="5"/>
  <c r="E27" i="5"/>
  <c r="AA26" i="5"/>
  <c r="C24" i="4"/>
  <c r="H23" i="4"/>
  <c r="D23" i="4"/>
  <c r="G23" i="4" s="1"/>
  <c r="B24" i="4" s="1"/>
  <c r="B25" i="5"/>
  <c r="D25" i="5" s="1"/>
  <c r="AB25" i="5" s="1"/>
  <c r="C28" i="5" l="1"/>
  <c r="AC27" i="5"/>
  <c r="E28" i="5"/>
  <c r="AA27" i="5"/>
  <c r="D24" i="4"/>
  <c r="G24" i="4" s="1"/>
  <c r="B25" i="4" s="1"/>
  <c r="C25" i="4"/>
  <c r="H24" i="4"/>
  <c r="B26" i="5"/>
  <c r="D26" i="5" s="1"/>
  <c r="AB26" i="5" s="1"/>
  <c r="C29" i="5" l="1"/>
  <c r="AC28" i="5"/>
  <c r="E29" i="5"/>
  <c r="AA28" i="5"/>
  <c r="C26" i="4"/>
  <c r="H25" i="4"/>
  <c r="D25" i="4"/>
  <c r="G25" i="4" s="1"/>
  <c r="B26" i="4" s="1"/>
  <c r="B27" i="5"/>
  <c r="D27" i="5" s="1"/>
  <c r="AB27" i="5" s="1"/>
  <c r="C30" i="5" l="1"/>
  <c r="AC29" i="5"/>
  <c r="E30" i="5"/>
  <c r="AA29" i="5"/>
  <c r="D26" i="4"/>
  <c r="G26" i="4" s="1"/>
  <c r="B27" i="4" s="1"/>
  <c r="C27" i="4"/>
  <c r="H26" i="4"/>
  <c r="B28" i="5"/>
  <c r="D28" i="5" s="1"/>
  <c r="AB28" i="5" s="1"/>
  <c r="C31" i="5" l="1"/>
  <c r="AC30" i="5"/>
  <c r="E31" i="5"/>
  <c r="AA30" i="5"/>
  <c r="C28" i="4"/>
  <c r="H27" i="4"/>
  <c r="D27" i="4"/>
  <c r="G27" i="4" s="1"/>
  <c r="B28" i="4" s="1"/>
  <c r="B29" i="5"/>
  <c r="D29" i="5" s="1"/>
  <c r="AB29" i="5" s="1"/>
  <c r="C32" i="5" l="1"/>
  <c r="AC31" i="5"/>
  <c r="E32" i="5"/>
  <c r="AA31" i="5"/>
  <c r="D28" i="4"/>
  <c r="G28" i="4" s="1"/>
  <c r="B29" i="4" s="1"/>
  <c r="C29" i="4"/>
  <c r="H28" i="4"/>
  <c r="B30" i="5"/>
  <c r="D30" i="5" s="1"/>
  <c r="AB30" i="5" s="1"/>
  <c r="C33" i="5" l="1"/>
  <c r="AC32" i="5"/>
  <c r="E33" i="5"/>
  <c r="AA32" i="5"/>
  <c r="C30" i="4"/>
  <c r="H29" i="4"/>
  <c r="D29" i="4"/>
  <c r="G29" i="4" s="1"/>
  <c r="B30" i="4" s="1"/>
  <c r="B31" i="5"/>
  <c r="D31" i="5" s="1"/>
  <c r="AB31" i="5" s="1"/>
  <c r="C34" i="5" l="1"/>
  <c r="AC33" i="5"/>
  <c r="Y8" i="5"/>
  <c r="U8" i="5" s="1"/>
  <c r="F13" i="5" s="1"/>
  <c r="Y7" i="5"/>
  <c r="U7" i="5" s="1"/>
  <c r="F10" i="5" s="1"/>
  <c r="E34" i="5"/>
  <c r="AA33" i="5"/>
  <c r="D30" i="4"/>
  <c r="G30" i="4" s="1"/>
  <c r="B31" i="4" s="1"/>
  <c r="C31" i="4"/>
  <c r="H30" i="4"/>
  <c r="B32" i="5"/>
  <c r="D32" i="5" s="1"/>
  <c r="AB32" i="5" s="1"/>
  <c r="C35" i="5" l="1"/>
  <c r="AC34" i="5"/>
  <c r="E35" i="5"/>
  <c r="AA34" i="5"/>
  <c r="C32" i="4"/>
  <c r="H31" i="4"/>
  <c r="D31" i="4"/>
  <c r="G31" i="4" s="1"/>
  <c r="B32" i="4" s="1"/>
  <c r="B33" i="5"/>
  <c r="D33" i="5" s="1"/>
  <c r="AB33" i="5" s="1"/>
  <c r="C36" i="5" l="1"/>
  <c r="AC35" i="5"/>
  <c r="E36" i="5"/>
  <c r="AA35" i="5"/>
  <c r="D32" i="4"/>
  <c r="G32" i="4" s="1"/>
  <c r="B33" i="4" s="1"/>
  <c r="C33" i="4"/>
  <c r="H32" i="4"/>
  <c r="B34" i="5"/>
  <c r="D34" i="5" s="1"/>
  <c r="AB34" i="5" s="1"/>
  <c r="C37" i="5" l="1"/>
  <c r="AC36" i="5"/>
  <c r="E37" i="5"/>
  <c r="AA36" i="5"/>
  <c r="C34" i="4"/>
  <c r="H33" i="4"/>
  <c r="D33" i="4"/>
  <c r="G33" i="4" s="1"/>
  <c r="B34" i="4" s="1"/>
  <c r="B35" i="5"/>
  <c r="D35" i="5" s="1"/>
  <c r="AB35" i="5" s="1"/>
  <c r="C38" i="5" l="1"/>
  <c r="AC37" i="5"/>
  <c r="E38" i="5"/>
  <c r="AA37" i="5"/>
  <c r="D34" i="4"/>
  <c r="G34" i="4" s="1"/>
  <c r="B35" i="4" s="1"/>
  <c r="C35" i="4"/>
  <c r="H34" i="4"/>
  <c r="B36" i="5"/>
  <c r="D36" i="5" s="1"/>
  <c r="AB36" i="5" s="1"/>
  <c r="C39" i="5" l="1"/>
  <c r="AC38" i="5"/>
  <c r="E39" i="5"/>
  <c r="AA38" i="5"/>
  <c r="C36" i="4"/>
  <c r="H35" i="4"/>
  <c r="D35" i="4"/>
  <c r="G35" i="4" s="1"/>
  <c r="B36" i="4" s="1"/>
  <c r="B37" i="5"/>
  <c r="D37" i="5" s="1"/>
  <c r="AB37" i="5" s="1"/>
  <c r="C40" i="5" l="1"/>
  <c r="AC39" i="5"/>
  <c r="E40" i="5"/>
  <c r="AA39" i="5"/>
  <c r="D36" i="4"/>
  <c r="G36" i="4" s="1"/>
  <c r="B37" i="4" s="1"/>
  <c r="C37" i="4"/>
  <c r="H36" i="4"/>
  <c r="B38" i="5"/>
  <c r="D38" i="5" s="1"/>
  <c r="AB38" i="5" s="1"/>
  <c r="C41" i="5" l="1"/>
  <c r="AC40" i="5"/>
  <c r="E41" i="5"/>
  <c r="AA40" i="5"/>
  <c r="C38" i="4"/>
  <c r="H37" i="4"/>
  <c r="D37" i="4"/>
  <c r="G37" i="4" s="1"/>
  <c r="B38" i="4" s="1"/>
  <c r="B39" i="5"/>
  <c r="D39" i="5" s="1"/>
  <c r="AB39" i="5" s="1"/>
  <c r="C42" i="5" l="1"/>
  <c r="AC41" i="5"/>
  <c r="E42" i="5"/>
  <c r="AA41" i="5"/>
  <c r="D38" i="4"/>
  <c r="G38" i="4" s="1"/>
  <c r="B39" i="4" s="1"/>
  <c r="C39" i="4"/>
  <c r="H38" i="4"/>
  <c r="B40" i="5"/>
  <c r="D40" i="5" s="1"/>
  <c r="AB40" i="5" s="1"/>
  <c r="C43" i="5" l="1"/>
  <c r="AC42" i="5"/>
  <c r="E43" i="5"/>
  <c r="AA42" i="5"/>
  <c r="C40" i="4"/>
  <c r="H39" i="4"/>
  <c r="D39" i="4"/>
  <c r="G39" i="4" s="1"/>
  <c r="B40" i="4" s="1"/>
  <c r="B41" i="5"/>
  <c r="D41" i="5" s="1"/>
  <c r="AB41" i="5" s="1"/>
  <c r="C44" i="5" l="1"/>
  <c r="AC43" i="5"/>
  <c r="E44" i="5"/>
  <c r="AA43" i="5"/>
  <c r="D40" i="4"/>
  <c r="G40" i="4" s="1"/>
  <c r="B41" i="4" s="1"/>
  <c r="C41" i="4"/>
  <c r="H40" i="4"/>
  <c r="B42" i="5"/>
  <c r="D42" i="5" s="1"/>
  <c r="AB42" i="5" s="1"/>
  <c r="C45" i="5" l="1"/>
  <c r="AC44" i="5"/>
  <c r="E45" i="5"/>
  <c r="AA44" i="5"/>
  <c r="C42" i="4"/>
  <c r="H41" i="4"/>
  <c r="D41" i="4"/>
  <c r="G41" i="4" s="1"/>
  <c r="B42" i="4" s="1"/>
  <c r="B43" i="5"/>
  <c r="D43" i="5" s="1"/>
  <c r="AB43" i="5" s="1"/>
  <c r="C46" i="5" l="1"/>
  <c r="AC45" i="5"/>
  <c r="E46" i="5"/>
  <c r="AA45" i="5"/>
  <c r="D42" i="4"/>
  <c r="G42" i="4" s="1"/>
  <c r="B43" i="4" s="1"/>
  <c r="C43" i="4"/>
  <c r="H42" i="4"/>
  <c r="B44" i="5"/>
  <c r="D44" i="5" s="1"/>
  <c r="AB44" i="5" s="1"/>
  <c r="C47" i="5" l="1"/>
  <c r="AC46" i="5"/>
  <c r="E47" i="5"/>
  <c r="AA46" i="5"/>
  <c r="C44" i="4"/>
  <c r="H43" i="4"/>
  <c r="D43" i="4"/>
  <c r="G43" i="4" s="1"/>
  <c r="B44" i="4" s="1"/>
  <c r="B45" i="5"/>
  <c r="D45" i="5" s="1"/>
  <c r="AB45" i="5" s="1"/>
  <c r="C48" i="5" l="1"/>
  <c r="AC47" i="5"/>
  <c r="E48" i="5"/>
  <c r="AA47" i="5"/>
  <c r="D44" i="4"/>
  <c r="G44" i="4" s="1"/>
  <c r="B45" i="4" s="1"/>
  <c r="C45" i="4"/>
  <c r="H44" i="4"/>
  <c r="B46" i="5"/>
  <c r="D46" i="5" s="1"/>
  <c r="AB46" i="5" s="1"/>
  <c r="C49" i="5" l="1"/>
  <c r="AC48" i="5"/>
  <c r="E49" i="5"/>
  <c r="AA48" i="5"/>
  <c r="C46" i="4"/>
  <c r="H45" i="4"/>
  <c r="D45" i="4"/>
  <c r="G45" i="4" s="1"/>
  <c r="B46" i="4" s="1"/>
  <c r="B47" i="5"/>
  <c r="D47" i="5" s="1"/>
  <c r="AB47" i="5" s="1"/>
  <c r="C50" i="5" l="1"/>
  <c r="AC49" i="5"/>
  <c r="E50" i="5"/>
  <c r="AA49" i="5"/>
  <c r="D46" i="4"/>
  <c r="G46" i="4" s="1"/>
  <c r="B47" i="4" s="1"/>
  <c r="C47" i="4"/>
  <c r="H46" i="4"/>
  <c r="B48" i="5"/>
  <c r="D48" i="5" s="1"/>
  <c r="AB48" i="5" s="1"/>
  <c r="C51" i="5" l="1"/>
  <c r="AC50" i="5"/>
  <c r="E51" i="5"/>
  <c r="AA50" i="5"/>
  <c r="C48" i="4"/>
  <c r="H47" i="4"/>
  <c r="D47" i="4"/>
  <c r="G47" i="4" s="1"/>
  <c r="B48" i="4" s="1"/>
  <c r="B49" i="5"/>
  <c r="D49" i="5" s="1"/>
  <c r="AB49" i="5" s="1"/>
  <c r="C52" i="5" l="1"/>
  <c r="AC51" i="5"/>
  <c r="E52" i="5"/>
  <c r="AA51" i="5"/>
  <c r="D48" i="4"/>
  <c r="G48" i="4" s="1"/>
  <c r="B49" i="4" s="1"/>
  <c r="C49" i="4"/>
  <c r="H48" i="4"/>
  <c r="B50" i="5"/>
  <c r="D50" i="5" s="1"/>
  <c r="AB50" i="5" s="1"/>
  <c r="C53" i="5" l="1"/>
  <c r="AC52" i="5"/>
  <c r="E53" i="5"/>
  <c r="AA52" i="5"/>
  <c r="C50" i="4"/>
  <c r="H49" i="4"/>
  <c r="D49" i="4"/>
  <c r="G49" i="4" s="1"/>
  <c r="B50" i="4" s="1"/>
  <c r="B51" i="5"/>
  <c r="D51" i="5" s="1"/>
  <c r="AB51" i="5" s="1"/>
  <c r="C54" i="5" l="1"/>
  <c r="AC53" i="5"/>
  <c r="E54" i="5"/>
  <c r="AA53" i="5"/>
  <c r="D50" i="4"/>
  <c r="G50" i="4" s="1"/>
  <c r="B51" i="4" s="1"/>
  <c r="C51" i="4"/>
  <c r="H50" i="4"/>
  <c r="B52" i="5"/>
  <c r="D52" i="5" s="1"/>
  <c r="AB52" i="5" s="1"/>
  <c r="C55" i="5" l="1"/>
  <c r="AC54" i="5"/>
  <c r="E55" i="5"/>
  <c r="AA54" i="5"/>
  <c r="D51" i="4"/>
  <c r="G51" i="4" s="1"/>
  <c r="B52" i="4" s="1"/>
  <c r="C52" i="4"/>
  <c r="H51" i="4"/>
  <c r="B53" i="5"/>
  <c r="D53" i="5" s="1"/>
  <c r="AB53" i="5" s="1"/>
  <c r="C56" i="5" l="1"/>
  <c r="AC55" i="5"/>
  <c r="E56" i="5"/>
  <c r="AA55" i="5"/>
  <c r="D52" i="4"/>
  <c r="G52" i="4" s="1"/>
  <c r="B53" i="4" s="1"/>
  <c r="C53" i="4"/>
  <c r="H52" i="4"/>
  <c r="B54" i="5"/>
  <c r="D54" i="5" s="1"/>
  <c r="AB54" i="5" s="1"/>
  <c r="C57" i="5" l="1"/>
  <c r="AC56" i="5"/>
  <c r="E57" i="5"/>
  <c r="AA56" i="5"/>
  <c r="C54" i="4"/>
  <c r="H53" i="4"/>
  <c r="D53" i="4"/>
  <c r="G53" i="4" s="1"/>
  <c r="B54" i="4" s="1"/>
  <c r="B55" i="5"/>
  <c r="D55" i="5" s="1"/>
  <c r="AB55" i="5" s="1"/>
  <c r="C58" i="5" l="1"/>
  <c r="AC57" i="5"/>
  <c r="E58" i="5"/>
  <c r="AA57" i="5"/>
  <c r="D54" i="4"/>
  <c r="G54" i="4" s="1"/>
  <c r="B55" i="4" s="1"/>
  <c r="C55" i="4"/>
  <c r="H54" i="4"/>
  <c r="B56" i="5"/>
  <c r="D56" i="5" s="1"/>
  <c r="AB56" i="5" s="1"/>
  <c r="C59" i="5" l="1"/>
  <c r="AC58" i="5"/>
  <c r="E59" i="5"/>
  <c r="AA58" i="5"/>
  <c r="H55" i="4"/>
  <c r="D55" i="4"/>
  <c r="G55" i="4" s="1"/>
  <c r="B57" i="5"/>
  <c r="D57" i="5" s="1"/>
  <c r="AB57" i="5" s="1"/>
  <c r="C60" i="5" l="1"/>
  <c r="AC59" i="5"/>
  <c r="E60" i="5"/>
  <c r="AA59" i="5"/>
  <c r="B58" i="5"/>
  <c r="D58" i="5" s="1"/>
  <c r="AB58" i="5" s="1"/>
  <c r="C61" i="5" l="1"/>
  <c r="AC60" i="5"/>
  <c r="E61" i="5"/>
  <c r="AA60" i="5"/>
  <c r="B59" i="5"/>
  <c r="D59" i="5" s="1"/>
  <c r="AB59" i="5" s="1"/>
  <c r="C62" i="5" l="1"/>
  <c r="AC62" i="5" s="1"/>
  <c r="AC61" i="5"/>
  <c r="E62" i="5"/>
  <c r="AA62" i="5" s="1"/>
  <c r="AA61" i="5"/>
  <c r="B60" i="5"/>
  <c r="D60" i="5" s="1"/>
  <c r="AB60" i="5" s="1"/>
  <c r="B61" i="5" l="1"/>
  <c r="D61" i="5" s="1"/>
  <c r="AB61" i="5" s="1"/>
  <c r="B62" i="5" l="1"/>
  <c r="D62" i="5" s="1"/>
  <c r="AB62" i="5" s="1"/>
</calcChain>
</file>

<file path=xl/sharedStrings.xml><?xml version="1.0" encoding="utf-8"?>
<sst xmlns="http://schemas.openxmlformats.org/spreadsheetml/2006/main" count="85" uniqueCount="72">
  <si>
    <t>Year</t>
  </si>
  <si>
    <t>Inflation</t>
  </si>
  <si>
    <t>Returns</t>
  </si>
  <si>
    <t>Real Rate of retrns</t>
  </si>
  <si>
    <t>Lower Age</t>
  </si>
  <si>
    <t>Higher Age</t>
  </si>
  <si>
    <t>Life Expectency</t>
  </si>
  <si>
    <t>Gap</t>
  </si>
  <si>
    <t>Months</t>
  </si>
  <si>
    <t>Life Expectency-Retirement</t>
  </si>
  <si>
    <t>if spouse is younger</t>
  </si>
  <si>
    <t>Final Gap to be taken for retirement</t>
  </si>
  <si>
    <t>Retirement Corpus</t>
  </si>
  <si>
    <t>Inflation during retirment</t>
  </si>
  <si>
    <t>Crores</t>
  </si>
  <si>
    <t>Monthly Expenses</t>
  </si>
  <si>
    <t>Balance</t>
  </si>
  <si>
    <t>Cash Flow Statement</t>
  </si>
  <si>
    <t>Total Corpus</t>
  </si>
  <si>
    <t>Yearly Expenses</t>
  </si>
  <si>
    <t>Balance at end of year</t>
  </si>
  <si>
    <t>Inflation (in %)</t>
  </si>
  <si>
    <t>Returns (in %)</t>
  </si>
  <si>
    <t>Withdrawal Rate</t>
  </si>
  <si>
    <t>FV</t>
  </si>
  <si>
    <t>Corpus (in Lakhs)</t>
  </si>
  <si>
    <t>Age</t>
  </si>
  <si>
    <t>Pension/Rental Income</t>
  </si>
  <si>
    <t>Self age</t>
  </si>
  <si>
    <t xml:space="preserve">Retirement Corpus Required - </t>
  </si>
  <si>
    <t>Retirement Calculator</t>
  </si>
  <si>
    <t>Future Retirement Expenses</t>
  </si>
  <si>
    <t>https://plnr.in/</t>
  </si>
  <si>
    <t>Spouse age</t>
  </si>
  <si>
    <t>Fixed-Fee Investment Adviser (SEBI RIA)</t>
  </si>
  <si>
    <t>How to Read</t>
  </si>
  <si>
    <t>Numbers will continue to update as the data in the retirement amount sheet changes.</t>
  </si>
  <si>
    <t>*Disclaimer- Nothing in the sheet is my solicitation, recommendation, endorsement, or offer. If you have any doubts as to the merits of the excel, you should seek advice from an independent financial advisor. Registration granted by SEBI, BASL membership, and NISM certification do not guarantee the intermediary’s performance or provide any assurance of returns to investors. Investment in the securities market is subject to market risks. Read all the related documents carefully before investing.</t>
  </si>
  <si>
    <t>You may only change the numbers in the cells highlighted in yellow.</t>
  </si>
  <si>
    <t>There may be a difference of small amount in retirement amount sheet and FIRE number sheet due to rounding off in formulas.</t>
  </si>
  <si>
    <r>
      <rPr>
        <b/>
        <sz val="12"/>
        <color theme="1"/>
        <rFont val="Aptos"/>
        <family val="2"/>
      </rPr>
      <t>Total Corpus</t>
    </r>
    <r>
      <rPr>
        <sz val="12"/>
        <color theme="1"/>
        <rFont val="Aptos"/>
        <family val="2"/>
      </rPr>
      <t xml:space="preserve"> - The amount of money you will have at the time of retirement</t>
    </r>
  </si>
  <si>
    <r>
      <rPr>
        <b/>
        <sz val="12"/>
        <color theme="1"/>
        <rFont val="Aptos"/>
        <family val="2"/>
      </rPr>
      <t>Yearly Expenses</t>
    </r>
    <r>
      <rPr>
        <sz val="12"/>
        <color theme="1"/>
        <rFont val="Aptos"/>
        <family val="2"/>
      </rPr>
      <t xml:space="preserve"> - Monthly expenses multiplied by 12 for first year. Every year, these expenses will increase by inflation %</t>
    </r>
  </si>
  <si>
    <r>
      <rPr>
        <b/>
        <sz val="12"/>
        <color theme="1"/>
        <rFont val="Aptos"/>
        <family val="2"/>
      </rPr>
      <t>Balance</t>
    </r>
    <r>
      <rPr>
        <sz val="12"/>
        <color theme="1"/>
        <rFont val="Aptos"/>
        <family val="2"/>
      </rPr>
      <t xml:space="preserve"> - Total Corpus minus Yearly expenses</t>
    </r>
  </si>
  <si>
    <r>
      <rPr>
        <b/>
        <sz val="12"/>
        <color theme="1"/>
        <rFont val="Aptos"/>
        <family val="2"/>
      </rPr>
      <t>Balance at the end of year</t>
    </r>
    <r>
      <rPr>
        <sz val="12"/>
        <color theme="1"/>
        <rFont val="Aptos"/>
        <family val="2"/>
      </rPr>
      <t xml:space="preserve"> - This is the amount you will have at the end of year, based on returns</t>
    </r>
  </si>
  <si>
    <t>How to read FIRE Numbers</t>
  </si>
  <si>
    <t xml:space="preserve">If your current age is </t>
  </si>
  <si>
    <t>and you want to retire at age</t>
  </si>
  <si>
    <t>corpus</t>
  </si>
  <si>
    <t>your retirement corpus would be</t>
  </si>
  <si>
    <t>Lakhs</t>
  </si>
  <si>
    <t>FIRE Numbers (Early Retirement)</t>
  </si>
  <si>
    <t>age</t>
  </si>
  <si>
    <t>If your current retirement expenses are</t>
  </si>
  <si>
    <t>your retirement expenses will increase to</t>
  </si>
  <si>
    <t>How to Read Future Retirement Expenses</t>
  </si>
  <si>
    <r>
      <rPr>
        <b/>
        <sz val="12"/>
        <color theme="1"/>
        <rFont val="Aptos"/>
        <family val="2"/>
      </rPr>
      <t>Returns</t>
    </r>
    <r>
      <rPr>
        <sz val="12"/>
        <color theme="1"/>
        <rFont val="Aptos"/>
        <family val="2"/>
      </rPr>
      <t xml:space="preserve"> - This is the percentage of returns you will get on balance money</t>
    </r>
  </si>
  <si>
    <t>If you can increase your investments or get better returns on your investments, you can retire early based on number in tables.</t>
  </si>
  <si>
    <t>How to Change Data</t>
  </si>
  <si>
    <t>Inflation after retirement</t>
  </si>
  <si>
    <t>Returns rfter retirement</t>
  </si>
  <si>
    <t>Monthly retirment expenses</t>
  </si>
  <si>
    <t>Retirement age</t>
  </si>
  <si>
    <t>Life expectancy</t>
  </si>
  <si>
    <t>Net retirement expenses</t>
  </si>
  <si>
    <t>Future value of retirement expenses</t>
  </si>
  <si>
    <r>
      <rPr>
        <b/>
        <sz val="12"/>
        <color theme="1"/>
        <rFont val="Aptos"/>
        <family val="2"/>
      </rPr>
      <t>Self age</t>
    </r>
    <r>
      <rPr>
        <sz val="12"/>
        <color theme="1"/>
        <rFont val="Aptos"/>
        <family val="2"/>
      </rPr>
      <t xml:space="preserve"> - Enter your age</t>
    </r>
  </si>
  <si>
    <r>
      <rPr>
        <b/>
        <sz val="12"/>
        <color theme="1"/>
        <rFont val="Aptos"/>
        <family val="2"/>
      </rPr>
      <t>Spouse age</t>
    </r>
    <r>
      <rPr>
        <sz val="12"/>
        <color theme="1"/>
        <rFont val="Aptos"/>
        <family val="2"/>
      </rPr>
      <t xml:space="preserve"> - If you are not married, enter Zero</t>
    </r>
  </si>
  <si>
    <r>
      <rPr>
        <b/>
        <sz val="12"/>
        <color theme="1"/>
        <rFont val="Aptos"/>
        <family val="2"/>
      </rPr>
      <t>Inflation during/after retirement</t>
    </r>
    <r>
      <rPr>
        <sz val="12"/>
        <color theme="1"/>
        <rFont val="Aptos"/>
        <family val="2"/>
      </rPr>
      <t xml:space="preserve"> - Standard is 6%/7%, you can take your assumptions</t>
    </r>
  </si>
  <si>
    <r>
      <rPr>
        <b/>
        <sz val="12"/>
        <color theme="1"/>
        <rFont val="Aptos"/>
        <family val="2"/>
      </rPr>
      <t>Life expectancy</t>
    </r>
    <r>
      <rPr>
        <sz val="12"/>
        <color theme="1"/>
        <rFont val="Aptos"/>
        <family val="2"/>
      </rPr>
      <t xml:space="preserve"> - How long do you expect to live, standard is 85</t>
    </r>
  </si>
  <si>
    <r>
      <rPr>
        <b/>
        <sz val="12"/>
        <color theme="1"/>
        <rFont val="Aptos"/>
        <family val="2"/>
      </rPr>
      <t>Returns after retirement</t>
    </r>
    <r>
      <rPr>
        <sz val="12"/>
        <color theme="1"/>
        <rFont val="Aptos"/>
        <family val="2"/>
      </rPr>
      <t xml:space="preserve"> - Take 7%/8% (1% above inflation) as you will invest more in debt after retirement</t>
    </r>
  </si>
  <si>
    <r>
      <rPr>
        <b/>
        <sz val="12"/>
        <color theme="1"/>
        <rFont val="Aptos"/>
        <family val="2"/>
      </rPr>
      <t>Monthly retirement expenses</t>
    </r>
    <r>
      <rPr>
        <sz val="12"/>
        <color theme="1"/>
        <rFont val="Aptos"/>
        <family val="2"/>
      </rPr>
      <t xml:space="preserve"> - Your current monthly expenses(Do not add investments/insurance premium (other than health insurance premium in expenses)</t>
    </r>
  </si>
  <si>
    <r>
      <rPr>
        <b/>
        <sz val="12"/>
        <color theme="1"/>
        <rFont val="Aptos"/>
        <family val="2"/>
      </rPr>
      <t>Pension/Rental Income</t>
    </r>
    <r>
      <rPr>
        <sz val="12"/>
        <color theme="1"/>
        <rFont val="Aptos"/>
        <family val="2"/>
      </rPr>
      <t xml:space="preserve"> - Add existing pension/rental income which is inflation adjusted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</si>
</sst>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 #,##0.00;[Red]&quot;₹&quot;\ \-#,##0.00"/>
    <numFmt numFmtId="164" formatCode="0.0%"/>
    <numFmt numFmtId="165" formatCode="0_ ;[Red]\-0\ "/>
    <numFmt numFmtId="166" formatCode="#,##0_ ;[Red]\-#,##0\ "/>
    <numFmt numFmtId="167" formatCode="0_);[Red]\(0\)"/>
  </numFmts>
  <fonts count="9" x14ac:knownFonts="1">
    <font>
      <sz val="11"/>
      <color theme="1"/>
      <name val="Calibri"/>
      <family val="2"/>
      <scheme val="minor"/>
    </font>
    <font>
      <sz val="11"/>
      <color theme="1"/>
      <name val="Calibri"/>
      <family val="2"/>
      <scheme val="minor"/>
    </font>
    <font>
      <sz val="12"/>
      <color theme="1"/>
      <name val="Aptos"/>
      <family val="2"/>
    </font>
    <font>
      <b/>
      <sz val="12"/>
      <color theme="0"/>
      <name val="Aptos"/>
      <family val="2"/>
    </font>
    <font>
      <b/>
      <sz val="12"/>
      <color theme="1"/>
      <name val="Aptos"/>
      <family val="2"/>
    </font>
    <font>
      <u/>
      <sz val="11"/>
      <color theme="10"/>
      <name val="Calibri"/>
      <family val="2"/>
      <scheme val="minor"/>
    </font>
    <font>
      <b/>
      <u/>
      <sz val="12"/>
      <color theme="0"/>
      <name val="Aptos"/>
      <family val="2"/>
    </font>
    <font>
      <u/>
      <sz val="12"/>
      <color theme="10"/>
      <name val="Aptos"/>
      <family val="2"/>
    </font>
    <font>
      <sz val="12"/>
      <color rgb="FFFFFFFF"/>
      <name val="Aptos"/>
      <family val="2"/>
    </font>
  </fonts>
  <fills count="13">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00B050"/>
        <bgColor indexed="64"/>
      </patternFill>
    </fill>
    <fill>
      <patternFill patternType="solid">
        <fgColor rgb="FF00206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0" tint="-4.9989318521683403E-2"/>
        <bgColor indexed="64"/>
      </patternFill>
    </fill>
  </fills>
  <borders count="12">
    <border>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0" fontId="5" fillId="0" borderId="0" applyNumberFormat="0" applyFill="0" applyBorder="0" applyAlignment="0" applyProtection="0"/>
  </cellStyleXfs>
  <cellXfs count="86">
    <xf numFmtId="0" fontId="0" fillId="0" borderId="0" xfId="0"/>
    <xf numFmtId="165" fontId="2" fillId="8" borderId="3" xfId="0" applyNumberFormat="1" applyFont="1" applyFill="1" applyBorder="1" applyAlignment="1" applyProtection="1">
      <alignment horizontal="center" vertical="center"/>
      <protection hidden="1"/>
    </xf>
    <xf numFmtId="0" fontId="2" fillId="8" borderId="3" xfId="0" applyFont="1" applyFill="1" applyBorder="1" applyAlignment="1" applyProtection="1">
      <alignment horizontal="center" vertical="center"/>
      <protection hidden="1"/>
    </xf>
    <xf numFmtId="0" fontId="3" fillId="4" borderId="0" xfId="0" applyFont="1" applyFill="1" applyAlignment="1" applyProtection="1">
      <alignment horizontal="center" vertical="center"/>
      <protection hidden="1"/>
    </xf>
    <xf numFmtId="0" fontId="2" fillId="2" borderId="3" xfId="0" applyFont="1" applyFill="1" applyBorder="1" applyAlignment="1" applyProtection="1">
      <alignment horizontal="center" vertical="center"/>
      <protection locked="0"/>
    </xf>
    <xf numFmtId="9" fontId="2" fillId="2" borderId="3" xfId="0" applyNumberFormat="1" applyFont="1" applyFill="1" applyBorder="1" applyAlignment="1" applyProtection="1">
      <alignment horizontal="center" vertical="center"/>
      <protection locked="0"/>
    </xf>
    <xf numFmtId="0" fontId="3" fillId="5" borderId="6" xfId="0" applyFont="1" applyFill="1" applyBorder="1" applyAlignment="1" applyProtection="1">
      <alignment horizontal="center"/>
      <protection hidden="1"/>
    </xf>
    <xf numFmtId="0" fontId="2" fillId="0" borderId="0" xfId="0" applyFont="1" applyProtection="1">
      <protection hidden="1"/>
    </xf>
    <xf numFmtId="0" fontId="2" fillId="0" borderId="0" xfId="0" applyFont="1" applyAlignment="1" applyProtection="1">
      <alignment horizontal="center"/>
      <protection hidden="1"/>
    </xf>
    <xf numFmtId="0" fontId="2" fillId="0" borderId="0" xfId="0" applyFont="1" applyAlignment="1" applyProtection="1">
      <protection hidden="1"/>
    </xf>
    <xf numFmtId="0" fontId="7" fillId="0" borderId="0" xfId="2" applyFont="1" applyAlignment="1" applyProtection="1">
      <alignment horizontal="center"/>
      <protection hidden="1"/>
    </xf>
    <xf numFmtId="0" fontId="2" fillId="0" borderId="3" xfId="0" applyFont="1" applyBorder="1" applyAlignment="1" applyProtection="1">
      <alignment horizontal="left"/>
      <protection hidden="1"/>
    </xf>
    <xf numFmtId="0" fontId="4" fillId="0" borderId="0" xfId="0" applyFont="1" applyAlignment="1" applyProtection="1">
      <alignment horizontal="center" vertical="center"/>
      <protection hidden="1"/>
    </xf>
    <xf numFmtId="0" fontId="4" fillId="4" borderId="3" xfId="0" applyFont="1" applyFill="1" applyBorder="1" applyAlignment="1" applyProtection="1">
      <alignment horizontal="center" vertical="center"/>
      <protection hidden="1"/>
    </xf>
    <xf numFmtId="0" fontId="4" fillId="4" borderId="4" xfId="0" applyFont="1" applyFill="1" applyBorder="1" applyAlignment="1" applyProtection="1">
      <alignment horizontal="center" vertical="center"/>
      <protection hidden="1"/>
    </xf>
    <xf numFmtId="0" fontId="6" fillId="4" borderId="0" xfId="2" applyFont="1" applyFill="1" applyAlignment="1" applyProtection="1">
      <alignment horizontal="center"/>
      <protection hidden="1"/>
    </xf>
    <xf numFmtId="0" fontId="2" fillId="0" borderId="3" xfId="0" applyFont="1" applyBorder="1" applyAlignment="1" applyProtection="1">
      <alignment horizontal="left" vertical="center"/>
      <protection hidden="1"/>
    </xf>
    <xf numFmtId="1" fontId="4" fillId="4" borderId="3" xfId="0" applyNumberFormat="1" applyFont="1" applyFill="1" applyBorder="1" applyAlignment="1" applyProtection="1">
      <alignment horizontal="center" vertical="center"/>
      <protection hidden="1"/>
    </xf>
    <xf numFmtId="1" fontId="4" fillId="0" borderId="0" xfId="0" applyNumberFormat="1" applyFont="1" applyAlignment="1" applyProtection="1">
      <alignment horizontal="center" vertical="center"/>
      <protection hidden="1"/>
    </xf>
    <xf numFmtId="1" fontId="2" fillId="10" borderId="3" xfId="0" applyNumberFormat="1" applyFont="1" applyFill="1" applyBorder="1" applyAlignment="1" applyProtection="1">
      <alignment horizontal="left" vertical="top" wrapText="1"/>
      <protection hidden="1"/>
    </xf>
    <xf numFmtId="1" fontId="2" fillId="0" borderId="0" xfId="0" applyNumberFormat="1" applyFont="1" applyProtection="1">
      <protection hidden="1"/>
    </xf>
    <xf numFmtId="8" fontId="2" fillId="0" borderId="0" xfId="0" applyNumberFormat="1" applyFont="1" applyProtection="1">
      <protection hidden="1"/>
    </xf>
    <xf numFmtId="0" fontId="2" fillId="0" borderId="0" xfId="0" applyFont="1" applyAlignment="1" applyProtection="1">
      <alignment horizontal="left" vertical="center" indent="1"/>
      <protection hidden="1"/>
    </xf>
    <xf numFmtId="0" fontId="2" fillId="0" borderId="3" xfId="0" applyFont="1" applyBorder="1" applyAlignment="1" applyProtection="1">
      <alignment horizontal="left" wrapText="1"/>
      <protection hidden="1"/>
    </xf>
    <xf numFmtId="10" fontId="2" fillId="0" borderId="0" xfId="0" applyNumberFormat="1" applyFont="1" applyAlignment="1" applyProtection="1">
      <alignment horizontal="center"/>
      <protection hidden="1"/>
    </xf>
    <xf numFmtId="0" fontId="2" fillId="0" borderId="0" xfId="0" applyFont="1" applyAlignment="1" applyProtection="1">
      <alignment horizontal="left"/>
      <protection hidden="1"/>
    </xf>
    <xf numFmtId="0" fontId="2" fillId="0" borderId="0" xfId="0" applyFont="1" applyAlignment="1" applyProtection="1">
      <alignment horizontal="center" vertical="center"/>
      <protection hidden="1"/>
    </xf>
    <xf numFmtId="0" fontId="8" fillId="0" borderId="0" xfId="0" applyFont="1" applyAlignment="1" applyProtection="1">
      <alignment horizontal="left" vertical="center" indent="1"/>
      <protection hidden="1"/>
    </xf>
    <xf numFmtId="0" fontId="3" fillId="5" borderId="6" xfId="0" applyFont="1" applyFill="1" applyBorder="1" applyAlignment="1" applyProtection="1">
      <alignment horizontal="center" vertical="center"/>
      <protection hidden="1"/>
    </xf>
    <xf numFmtId="0" fontId="2" fillId="0" borderId="3" xfId="0" applyFont="1" applyBorder="1" applyAlignment="1" applyProtection="1">
      <alignment horizontal="center" vertical="center"/>
      <protection hidden="1"/>
    </xf>
    <xf numFmtId="1" fontId="2" fillId="0" borderId="3" xfId="0" applyNumberFormat="1" applyFont="1" applyBorder="1" applyAlignment="1" applyProtection="1">
      <alignment horizontal="center" vertical="center"/>
      <protection hidden="1"/>
    </xf>
    <xf numFmtId="166" fontId="2" fillId="0" borderId="3" xfId="0" applyNumberFormat="1" applyFont="1" applyBorder="1" applyAlignment="1" applyProtection="1">
      <alignment horizontal="center" vertical="center"/>
      <protection hidden="1"/>
    </xf>
    <xf numFmtId="38" fontId="2" fillId="0" borderId="3" xfId="0" applyNumberFormat="1" applyFont="1" applyBorder="1" applyAlignment="1" applyProtection="1">
      <alignment horizontal="center" vertical="center"/>
      <protection hidden="1"/>
    </xf>
    <xf numFmtId="1" fontId="2" fillId="0" borderId="0" xfId="0" applyNumberFormat="1" applyFont="1" applyAlignment="1" applyProtection="1">
      <alignment horizontal="center" vertical="center"/>
      <protection hidden="1"/>
    </xf>
    <xf numFmtId="1" fontId="2" fillId="6" borderId="3" xfId="0" applyNumberFormat="1" applyFont="1" applyFill="1" applyBorder="1" applyAlignment="1" applyProtection="1">
      <alignment horizontal="left" vertical="top" wrapText="1"/>
      <protection hidden="1"/>
    </xf>
    <xf numFmtId="1" fontId="2" fillId="6" borderId="7" xfId="0" applyNumberFormat="1" applyFont="1" applyFill="1" applyBorder="1" applyAlignment="1" applyProtection="1">
      <alignment horizontal="left" vertical="top" wrapText="1"/>
      <protection hidden="1"/>
    </xf>
    <xf numFmtId="1" fontId="2" fillId="6" borderId="8" xfId="0" applyNumberFormat="1" applyFont="1" applyFill="1" applyBorder="1" applyAlignment="1" applyProtection="1">
      <alignment horizontal="left" vertical="top" wrapText="1"/>
      <protection hidden="1"/>
    </xf>
    <xf numFmtId="1" fontId="2" fillId="6" borderId="9" xfId="0" applyNumberFormat="1" applyFont="1" applyFill="1" applyBorder="1" applyAlignment="1" applyProtection="1">
      <alignment horizontal="left" vertical="top" wrapText="1"/>
      <protection hidden="1"/>
    </xf>
    <xf numFmtId="1" fontId="2" fillId="6" borderId="0" xfId="0" applyNumberFormat="1" applyFont="1" applyFill="1" applyBorder="1" applyAlignment="1" applyProtection="1">
      <alignment horizontal="left" vertical="top" wrapText="1"/>
      <protection hidden="1"/>
    </xf>
    <xf numFmtId="0" fontId="3" fillId="5" borderId="0" xfId="0" applyFont="1" applyFill="1" applyAlignment="1" applyProtection="1">
      <alignment horizontal="center"/>
      <protection hidden="1"/>
    </xf>
    <xf numFmtId="0" fontId="2" fillId="0" borderId="3" xfId="0" applyFont="1" applyBorder="1" applyProtection="1">
      <protection hidden="1"/>
    </xf>
    <xf numFmtId="9" fontId="2" fillId="0" borderId="3" xfId="1" applyFont="1" applyBorder="1" applyProtection="1">
      <protection hidden="1"/>
    </xf>
    <xf numFmtId="0" fontId="2" fillId="0" borderId="1" xfId="0" applyFont="1" applyBorder="1" applyProtection="1">
      <protection hidden="1"/>
    </xf>
    <xf numFmtId="167" fontId="2" fillId="0" borderId="1" xfId="0" applyNumberFormat="1" applyFont="1" applyBorder="1" applyProtection="1">
      <protection hidden="1"/>
    </xf>
    <xf numFmtId="1" fontId="2" fillId="0" borderId="1" xfId="0" applyNumberFormat="1" applyFont="1" applyBorder="1" applyProtection="1">
      <protection hidden="1"/>
    </xf>
    <xf numFmtId="38" fontId="2" fillId="0" borderId="1" xfId="0" applyNumberFormat="1" applyFont="1" applyBorder="1" applyProtection="1">
      <protection hidden="1"/>
    </xf>
    <xf numFmtId="10" fontId="2" fillId="0" borderId="3" xfId="1" applyNumberFormat="1" applyFont="1" applyBorder="1" applyProtection="1">
      <protection hidden="1"/>
    </xf>
    <xf numFmtId="167" fontId="2" fillId="0" borderId="3" xfId="0" applyNumberFormat="1" applyFont="1" applyBorder="1" applyProtection="1">
      <protection hidden="1"/>
    </xf>
    <xf numFmtId="1" fontId="2" fillId="0" borderId="3" xfId="0" applyNumberFormat="1" applyFont="1" applyBorder="1" applyProtection="1">
      <protection hidden="1"/>
    </xf>
    <xf numFmtId="38" fontId="2" fillId="0" borderId="3" xfId="0" applyNumberFormat="1" applyFont="1" applyBorder="1" applyProtection="1">
      <protection hidden="1"/>
    </xf>
    <xf numFmtId="9" fontId="2" fillId="0" borderId="0" xfId="1" applyFont="1" applyProtection="1">
      <protection hidden="1"/>
    </xf>
    <xf numFmtId="164" fontId="2" fillId="2" borderId="1" xfId="1" applyNumberFormat="1" applyFont="1" applyFill="1" applyBorder="1" applyProtection="1">
      <protection locked="0" hidden="1"/>
    </xf>
    <xf numFmtId="9" fontId="2" fillId="2" borderId="1" xfId="1" applyFont="1" applyFill="1" applyBorder="1" applyProtection="1">
      <protection locked="0" hidden="1"/>
    </xf>
    <xf numFmtId="164" fontId="2" fillId="2" borderId="3" xfId="1" applyNumberFormat="1" applyFont="1" applyFill="1" applyBorder="1" applyProtection="1">
      <protection locked="0" hidden="1"/>
    </xf>
    <xf numFmtId="9" fontId="2" fillId="2" borderId="3" xfId="1" applyFont="1" applyFill="1" applyBorder="1" applyProtection="1">
      <protection locked="0" hidden="1"/>
    </xf>
    <xf numFmtId="164" fontId="2" fillId="2" borderId="0" xfId="1" applyNumberFormat="1" applyFont="1" applyFill="1" applyProtection="1">
      <protection locked="0" hidden="1"/>
    </xf>
    <xf numFmtId="9" fontId="2" fillId="2" borderId="0" xfId="1" applyFont="1" applyFill="1" applyProtection="1">
      <protection locked="0" hidden="1"/>
    </xf>
    <xf numFmtId="38" fontId="2" fillId="0" borderId="0" xfId="0" applyNumberFormat="1" applyFont="1" applyAlignment="1" applyProtection="1">
      <alignment horizontal="center" vertical="center"/>
      <protection hidden="1"/>
    </xf>
    <xf numFmtId="166" fontId="2" fillId="0" borderId="0" xfId="0" applyNumberFormat="1" applyFont="1" applyAlignment="1" applyProtection="1">
      <alignment horizontal="center" vertical="center"/>
      <protection hidden="1"/>
    </xf>
    <xf numFmtId="1" fontId="2" fillId="7" borderId="3" xfId="0" applyNumberFormat="1" applyFont="1" applyFill="1" applyBorder="1" applyAlignment="1" applyProtection="1">
      <alignment horizontal="center" vertical="top" wrapText="1"/>
      <protection hidden="1"/>
    </xf>
    <xf numFmtId="0" fontId="2" fillId="2" borderId="3" xfId="0" applyFont="1" applyFill="1" applyBorder="1" applyAlignment="1" applyProtection="1">
      <alignment horizontal="center" vertical="center" wrapText="1"/>
      <protection hidden="1"/>
    </xf>
    <xf numFmtId="0" fontId="2" fillId="8" borderId="3" xfId="0" applyFont="1" applyFill="1" applyBorder="1" applyAlignment="1" applyProtection="1">
      <alignment horizontal="left"/>
      <protection hidden="1"/>
    </xf>
    <xf numFmtId="0" fontId="2" fillId="7" borderId="5" xfId="0" applyFont="1" applyFill="1" applyBorder="1" applyAlignment="1" applyProtection="1">
      <alignment horizontal="left"/>
      <protection hidden="1"/>
    </xf>
    <xf numFmtId="0" fontId="2" fillId="7" borderId="10" xfId="0" applyFont="1" applyFill="1" applyBorder="1" applyAlignment="1" applyProtection="1">
      <alignment horizontal="left"/>
      <protection hidden="1"/>
    </xf>
    <xf numFmtId="0" fontId="2" fillId="7" borderId="11" xfId="0" applyFont="1" applyFill="1" applyBorder="1" applyAlignment="1" applyProtection="1">
      <alignment horizontal="left"/>
      <protection hidden="1"/>
    </xf>
    <xf numFmtId="0" fontId="2" fillId="11" borderId="5" xfId="0" applyFont="1" applyFill="1" applyBorder="1" applyAlignment="1" applyProtection="1">
      <alignment horizontal="left"/>
      <protection hidden="1"/>
    </xf>
    <xf numFmtId="0" fontId="2" fillId="11" borderId="10" xfId="0" applyFont="1" applyFill="1" applyBorder="1" applyAlignment="1" applyProtection="1">
      <alignment horizontal="left"/>
      <protection hidden="1"/>
    </xf>
    <xf numFmtId="0" fontId="2" fillId="11" borderId="11" xfId="0" applyFont="1" applyFill="1" applyBorder="1" applyAlignment="1" applyProtection="1">
      <alignment horizontal="left"/>
      <protection hidden="1"/>
    </xf>
    <xf numFmtId="0" fontId="2" fillId="9" borderId="5" xfId="0" applyFont="1" applyFill="1" applyBorder="1" applyAlignment="1" applyProtection="1">
      <alignment horizontal="left"/>
      <protection hidden="1"/>
    </xf>
    <xf numFmtId="0" fontId="2" fillId="9" borderId="10" xfId="0" applyFont="1" applyFill="1" applyBorder="1" applyAlignment="1" applyProtection="1">
      <alignment horizontal="left"/>
      <protection hidden="1"/>
    </xf>
    <xf numFmtId="0" fontId="2" fillId="9" borderId="11" xfId="0" applyFont="1" applyFill="1" applyBorder="1" applyAlignment="1" applyProtection="1">
      <alignment horizontal="left"/>
      <protection hidden="1"/>
    </xf>
    <xf numFmtId="0" fontId="2" fillId="6" borderId="5" xfId="0" applyFont="1" applyFill="1" applyBorder="1" applyAlignment="1" applyProtection="1">
      <alignment horizontal="left"/>
      <protection hidden="1"/>
    </xf>
    <xf numFmtId="0" fontId="2" fillId="6" borderId="10" xfId="0" applyFont="1" applyFill="1" applyBorder="1" applyAlignment="1" applyProtection="1">
      <alignment horizontal="left"/>
      <protection hidden="1"/>
    </xf>
    <xf numFmtId="0" fontId="2" fillId="6" borderId="11" xfId="0" applyFont="1" applyFill="1" applyBorder="1" applyAlignment="1" applyProtection="1">
      <alignment horizontal="left"/>
      <protection hidden="1"/>
    </xf>
    <xf numFmtId="0" fontId="4" fillId="2" borderId="3" xfId="0" applyFont="1" applyFill="1" applyBorder="1" applyAlignment="1" applyProtection="1">
      <alignment horizontal="left" vertical="center" wrapText="1"/>
      <protection hidden="1"/>
    </xf>
    <xf numFmtId="0" fontId="3" fillId="5" borderId="2" xfId="0" applyFont="1" applyFill="1" applyBorder="1" applyAlignment="1" applyProtection="1">
      <alignment horizontal="center"/>
      <protection hidden="1"/>
    </xf>
    <xf numFmtId="1" fontId="4" fillId="12" borderId="3" xfId="0" applyNumberFormat="1" applyFont="1" applyFill="1" applyBorder="1" applyAlignment="1" applyProtection="1">
      <alignment horizontal="center" vertical="center" wrapText="1"/>
      <protection hidden="1"/>
    </xf>
    <xf numFmtId="1" fontId="4" fillId="7" borderId="3" xfId="0" applyNumberFormat="1" applyFont="1" applyFill="1" applyBorder="1" applyAlignment="1" applyProtection="1">
      <alignment horizontal="center" vertical="center"/>
      <protection hidden="1"/>
    </xf>
    <xf numFmtId="1" fontId="4" fillId="9" borderId="3" xfId="0" applyNumberFormat="1" applyFont="1" applyFill="1" applyBorder="1" applyAlignment="1" applyProtection="1">
      <alignment horizontal="center" vertical="top" wrapText="1"/>
      <protection hidden="1"/>
    </xf>
    <xf numFmtId="1" fontId="2" fillId="9" borderId="3" xfId="0" applyNumberFormat="1" applyFont="1" applyFill="1" applyBorder="1" applyAlignment="1" applyProtection="1">
      <alignment horizontal="center" vertical="top" wrapText="1"/>
      <protection hidden="1"/>
    </xf>
    <xf numFmtId="1" fontId="2" fillId="3" borderId="5" xfId="0" applyNumberFormat="1" applyFont="1" applyFill="1" applyBorder="1" applyAlignment="1" applyProtection="1">
      <alignment horizontal="center" vertical="top" wrapText="1"/>
      <protection hidden="1"/>
    </xf>
    <xf numFmtId="1" fontId="2" fillId="3" borderId="10" xfId="0" applyNumberFormat="1" applyFont="1" applyFill="1" applyBorder="1" applyAlignment="1" applyProtection="1">
      <alignment horizontal="center" vertical="top" wrapText="1"/>
      <protection hidden="1"/>
    </xf>
    <xf numFmtId="1" fontId="2" fillId="3" borderId="11" xfId="0" applyNumberFormat="1" applyFont="1" applyFill="1" applyBorder="1" applyAlignment="1" applyProtection="1">
      <alignment horizontal="center" vertical="top" wrapText="1"/>
      <protection hidden="1"/>
    </xf>
    <xf numFmtId="0" fontId="2" fillId="0" borderId="3" xfId="0" applyFont="1" applyBorder="1" applyAlignment="1" applyProtection="1">
      <alignment horizontal="left"/>
      <protection hidden="1"/>
    </xf>
    <xf numFmtId="0" fontId="3" fillId="5" borderId="6" xfId="0" applyFont="1" applyFill="1" applyBorder="1" applyAlignment="1" applyProtection="1">
      <alignment horizontal="left"/>
      <protection hidden="1"/>
    </xf>
    <xf numFmtId="0" fontId="2" fillId="0" borderId="3" xfId="0" applyFont="1" applyBorder="1" applyAlignment="1" applyProtection="1">
      <alignment horizontal="left" vertical="top" wrapText="1"/>
      <protection hidden="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plnr.in/"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plnr.in/"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plnr.in/" TargetMode="External"/></Relationships>
</file>

<file path=xl/drawings/drawing1.xml><?xml version="1.0" encoding="utf-8"?>
<xdr:wsDr xmlns:xdr="http://schemas.openxmlformats.org/drawingml/2006/spreadsheetDrawing" xmlns:a="http://schemas.openxmlformats.org/drawingml/2006/main">
  <xdr:twoCellAnchor editAs="oneCell">
    <xdr:from>
      <xdr:col>10</xdr:col>
      <xdr:colOff>400050</xdr:colOff>
      <xdr:row>0</xdr:row>
      <xdr:rowOff>192658</xdr:rowOff>
    </xdr:from>
    <xdr:to>
      <xdr:col>11</xdr:col>
      <xdr:colOff>774899</xdr:colOff>
      <xdr:row>2</xdr:row>
      <xdr:rowOff>199727</xdr:rowOff>
    </xdr:to>
    <xdr:pic>
      <xdr:nvPicPr>
        <xdr:cNvPr id="2" name="Picture 1">
          <a:hlinkClick xmlns:r="http://schemas.openxmlformats.org/officeDocument/2006/relationships" r:id="rId1"/>
          <a:extLst>
            <a:ext uri="{FF2B5EF4-FFF2-40B4-BE49-F238E27FC236}">
              <a16:creationId xmlns:a16="http://schemas.microsoft.com/office/drawing/2014/main" id="{AB5296A5-06F5-C39E-3B7B-BFD8EEEAECC6}"/>
            </a:ext>
          </a:extLst>
        </xdr:cNvPr>
        <xdr:cNvPicPr>
          <a:picLocks noChangeAspect="1"/>
        </xdr:cNvPicPr>
      </xdr:nvPicPr>
      <xdr:blipFill>
        <a:blip xmlns:r="http://schemas.openxmlformats.org/officeDocument/2006/relationships" r:embed="rId2"/>
        <a:stretch>
          <a:fillRect/>
        </a:stretch>
      </xdr:blipFill>
      <xdr:spPr>
        <a:xfrm>
          <a:off x="7981950" y="192658"/>
          <a:ext cx="984449" cy="41346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381000</xdr:colOff>
      <xdr:row>0</xdr:row>
      <xdr:rowOff>76200</xdr:rowOff>
    </xdr:from>
    <xdr:to>
      <xdr:col>15</xdr:col>
      <xdr:colOff>82749</xdr:colOff>
      <xdr:row>2</xdr:row>
      <xdr:rowOff>83269</xdr:rowOff>
    </xdr:to>
    <xdr:pic>
      <xdr:nvPicPr>
        <xdr:cNvPr id="2" name="Picture 1">
          <a:hlinkClick xmlns:r="http://schemas.openxmlformats.org/officeDocument/2006/relationships" r:id="rId1"/>
          <a:extLst>
            <a:ext uri="{FF2B5EF4-FFF2-40B4-BE49-F238E27FC236}">
              <a16:creationId xmlns:a16="http://schemas.microsoft.com/office/drawing/2014/main" id="{FA808732-7783-4C66-819C-B03847F9025E}"/>
            </a:ext>
          </a:extLst>
        </xdr:cNvPr>
        <xdr:cNvPicPr>
          <a:picLocks noChangeAspect="1"/>
        </xdr:cNvPicPr>
      </xdr:nvPicPr>
      <xdr:blipFill>
        <a:blip xmlns:r="http://schemas.openxmlformats.org/officeDocument/2006/relationships" r:embed="rId2"/>
        <a:stretch>
          <a:fillRect/>
        </a:stretch>
      </xdr:blipFill>
      <xdr:spPr>
        <a:xfrm>
          <a:off x="7366000" y="76200"/>
          <a:ext cx="984449" cy="4134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381000</xdr:colOff>
      <xdr:row>0</xdr:row>
      <xdr:rowOff>76200</xdr:rowOff>
    </xdr:from>
    <xdr:to>
      <xdr:col>11</xdr:col>
      <xdr:colOff>146249</xdr:colOff>
      <xdr:row>2</xdr:row>
      <xdr:rowOff>83269</xdr:rowOff>
    </xdr:to>
    <xdr:pic>
      <xdr:nvPicPr>
        <xdr:cNvPr id="2" name="Picture 1">
          <a:hlinkClick xmlns:r="http://schemas.openxmlformats.org/officeDocument/2006/relationships" r:id="rId1"/>
          <a:extLst>
            <a:ext uri="{FF2B5EF4-FFF2-40B4-BE49-F238E27FC236}">
              <a16:creationId xmlns:a16="http://schemas.microsoft.com/office/drawing/2014/main" id="{A080597B-5E5C-4152-8399-AEE26C642C98}"/>
            </a:ext>
          </a:extLst>
        </xdr:cNvPr>
        <xdr:cNvPicPr>
          <a:picLocks noChangeAspect="1"/>
        </xdr:cNvPicPr>
      </xdr:nvPicPr>
      <xdr:blipFill>
        <a:blip xmlns:r="http://schemas.openxmlformats.org/officeDocument/2006/relationships" r:embed="rId2"/>
        <a:stretch>
          <a:fillRect/>
        </a:stretch>
      </xdr:blipFill>
      <xdr:spPr>
        <a:xfrm>
          <a:off x="7366000" y="76200"/>
          <a:ext cx="984449" cy="41346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plnr.in/"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plnr.in/"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s://plnr.i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CE78F-695C-4D85-8033-55FFEB0F6AEE}">
  <dimension ref="A1:V25"/>
  <sheetViews>
    <sheetView tabSelected="1" workbookViewId="0">
      <selection activeCell="C5" sqref="C5"/>
    </sheetView>
  </sheetViews>
  <sheetFormatPr defaultRowHeight="16" x14ac:dyDescent="0.4"/>
  <cols>
    <col min="1" max="1" width="28.36328125" style="25" bestFit="1" customWidth="1"/>
    <col min="2" max="2" width="30.36328125" style="26" bestFit="1" customWidth="1"/>
    <col min="3" max="3" width="14.90625" style="7" bestFit="1" customWidth="1"/>
    <col min="4" max="4" width="8.7265625" style="7"/>
    <col min="5" max="5" width="35" style="7" hidden="1" customWidth="1"/>
    <col min="6" max="6" width="10.08984375" style="7" hidden="1" customWidth="1"/>
    <col min="7" max="7" width="10.54296875" style="7" hidden="1" customWidth="1"/>
    <col min="8" max="11" width="8.7265625" style="7"/>
    <col min="12" max="12" width="16.81640625" style="7" customWidth="1"/>
    <col min="13" max="16384" width="8.7265625" style="7"/>
  </cols>
  <sheetData>
    <row r="1" spans="1:22" x14ac:dyDescent="0.4">
      <c r="A1" s="6" t="s">
        <v>30</v>
      </c>
      <c r="B1" s="6"/>
      <c r="E1" s="8"/>
      <c r="I1" s="9"/>
      <c r="J1" s="10" t="s">
        <v>32</v>
      </c>
      <c r="K1" s="10"/>
      <c r="L1" s="10"/>
      <c r="M1" s="10"/>
    </row>
    <row r="2" spans="1:22" x14ac:dyDescent="0.4">
      <c r="A2" s="11" t="s">
        <v>28</v>
      </c>
      <c r="B2" s="4">
        <v>40</v>
      </c>
      <c r="E2" s="8"/>
      <c r="I2" s="9"/>
      <c r="J2" s="10"/>
      <c r="K2" s="10"/>
      <c r="L2" s="10"/>
      <c r="M2" s="10"/>
    </row>
    <row r="3" spans="1:22" x14ac:dyDescent="0.4">
      <c r="A3" s="11" t="s">
        <v>33</v>
      </c>
      <c r="B3" s="4">
        <v>40</v>
      </c>
      <c r="E3" s="12"/>
      <c r="F3" s="13" t="s">
        <v>4</v>
      </c>
      <c r="G3" s="13" t="s">
        <v>5</v>
      </c>
      <c r="I3" s="9"/>
      <c r="J3" s="10"/>
      <c r="K3" s="10"/>
      <c r="L3" s="10"/>
      <c r="M3" s="10"/>
    </row>
    <row r="4" spans="1:22" x14ac:dyDescent="0.4">
      <c r="A4" s="11" t="s">
        <v>13</v>
      </c>
      <c r="B4" s="5">
        <v>0.06</v>
      </c>
      <c r="E4" s="12"/>
      <c r="F4" s="14">
        <f>MIN(B2,B3)</f>
        <v>40</v>
      </c>
      <c r="G4" s="14">
        <f>MAX(B2,B3)</f>
        <v>40</v>
      </c>
      <c r="I4" s="9"/>
      <c r="J4" s="15" t="s">
        <v>34</v>
      </c>
      <c r="K4" s="15"/>
      <c r="L4" s="15"/>
      <c r="M4" s="15"/>
    </row>
    <row r="5" spans="1:22" x14ac:dyDescent="0.4">
      <c r="A5" s="16" t="s">
        <v>58</v>
      </c>
      <c r="B5" s="5">
        <v>0.06</v>
      </c>
      <c r="E5" s="13" t="s">
        <v>6</v>
      </c>
      <c r="F5" s="17">
        <f>B8</f>
        <v>85</v>
      </c>
      <c r="G5" s="12"/>
      <c r="I5" s="9"/>
      <c r="J5" s="9"/>
      <c r="K5" s="9"/>
      <c r="L5" s="9"/>
    </row>
    <row r="6" spans="1:22" ht="16" customHeight="1" x14ac:dyDescent="0.4">
      <c r="A6" s="16" t="s">
        <v>59</v>
      </c>
      <c r="B6" s="5">
        <v>7.0000000000000007E-2</v>
      </c>
      <c r="E6" s="13" t="s">
        <v>7</v>
      </c>
      <c r="F6" s="13">
        <f>F5-F4</f>
        <v>45</v>
      </c>
      <c r="G6" s="12"/>
      <c r="J6" s="84" t="s">
        <v>57</v>
      </c>
      <c r="K6" s="84"/>
      <c r="L6" s="84"/>
      <c r="M6" s="84"/>
      <c r="N6" s="84"/>
      <c r="O6" s="84"/>
      <c r="P6" s="84"/>
      <c r="Q6" s="84"/>
      <c r="R6" s="84"/>
      <c r="S6" s="84"/>
      <c r="T6" s="84"/>
      <c r="U6" s="84"/>
      <c r="V6" s="84"/>
    </row>
    <row r="7" spans="1:22" x14ac:dyDescent="0.4">
      <c r="A7" s="11" t="s">
        <v>61</v>
      </c>
      <c r="B7" s="4">
        <v>50</v>
      </c>
      <c r="E7" s="13" t="s">
        <v>8</v>
      </c>
      <c r="F7" s="13">
        <f>F6*12</f>
        <v>540</v>
      </c>
      <c r="G7" s="12"/>
      <c r="J7" s="83" t="s">
        <v>65</v>
      </c>
      <c r="K7" s="83"/>
      <c r="L7" s="83"/>
      <c r="M7" s="83"/>
      <c r="N7" s="83"/>
      <c r="O7" s="83"/>
      <c r="P7" s="83"/>
      <c r="Q7" s="83"/>
      <c r="R7" s="83"/>
      <c r="S7" s="83"/>
      <c r="T7" s="83"/>
      <c r="U7" s="83"/>
      <c r="V7" s="83"/>
    </row>
    <row r="8" spans="1:22" x14ac:dyDescent="0.4">
      <c r="A8" s="11" t="s">
        <v>62</v>
      </c>
      <c r="B8" s="4">
        <v>85</v>
      </c>
      <c r="E8" s="12" t="s">
        <v>9</v>
      </c>
      <c r="F8" s="18">
        <f>B8-B7</f>
        <v>35</v>
      </c>
      <c r="G8" s="12"/>
      <c r="J8" s="83" t="s">
        <v>66</v>
      </c>
      <c r="K8" s="83"/>
      <c r="L8" s="83"/>
      <c r="M8" s="83"/>
      <c r="N8" s="83"/>
      <c r="O8" s="83"/>
      <c r="P8" s="83"/>
      <c r="Q8" s="83"/>
      <c r="R8" s="83"/>
      <c r="S8" s="83"/>
      <c r="T8" s="83"/>
      <c r="U8" s="83"/>
      <c r="V8" s="83"/>
    </row>
    <row r="9" spans="1:22" x14ac:dyDescent="0.4">
      <c r="A9" s="11" t="s">
        <v>60</v>
      </c>
      <c r="B9" s="4">
        <v>60000</v>
      </c>
      <c r="E9" s="12" t="s">
        <v>10</v>
      </c>
      <c r="F9" s="18">
        <f>F8+(G4-F4)</f>
        <v>35</v>
      </c>
      <c r="G9" s="12"/>
      <c r="H9" s="20"/>
      <c r="J9" s="83" t="s">
        <v>67</v>
      </c>
      <c r="K9" s="83"/>
      <c r="L9" s="83"/>
      <c r="M9" s="83"/>
      <c r="N9" s="83"/>
      <c r="O9" s="83"/>
      <c r="P9" s="83"/>
      <c r="Q9" s="83"/>
      <c r="R9" s="83"/>
      <c r="S9" s="83"/>
      <c r="T9" s="83"/>
      <c r="U9" s="83"/>
      <c r="V9" s="83"/>
    </row>
    <row r="10" spans="1:22" x14ac:dyDescent="0.4">
      <c r="A10" s="11" t="s">
        <v>27</v>
      </c>
      <c r="B10" s="4">
        <v>0</v>
      </c>
      <c r="E10" s="7" t="s">
        <v>11</v>
      </c>
      <c r="F10" s="7">
        <f>IF(OR(B3=0,B3="",B3&gt;B2),F8,F9)</f>
        <v>35</v>
      </c>
      <c r="G10" s="12"/>
      <c r="H10" s="20"/>
      <c r="J10" s="83" t="s">
        <v>69</v>
      </c>
      <c r="K10" s="83"/>
      <c r="L10" s="83"/>
      <c r="M10" s="83"/>
      <c r="N10" s="83"/>
      <c r="O10" s="83"/>
      <c r="P10" s="83"/>
      <c r="Q10" s="83"/>
      <c r="R10" s="83"/>
      <c r="S10" s="83"/>
      <c r="T10" s="83"/>
      <c r="U10" s="83"/>
      <c r="V10" s="83"/>
    </row>
    <row r="11" spans="1:22" x14ac:dyDescent="0.4">
      <c r="A11" s="11" t="s">
        <v>63</v>
      </c>
      <c r="B11" s="2">
        <f>B9-B10</f>
        <v>60000</v>
      </c>
      <c r="C11" s="21"/>
      <c r="H11" s="22"/>
      <c r="J11" s="83" t="s">
        <v>68</v>
      </c>
      <c r="K11" s="83"/>
      <c r="L11" s="83"/>
      <c r="M11" s="83"/>
      <c r="N11" s="83"/>
      <c r="O11" s="83"/>
      <c r="P11" s="83"/>
      <c r="Q11" s="83"/>
      <c r="R11" s="83"/>
      <c r="S11" s="83"/>
      <c r="T11" s="83"/>
      <c r="U11" s="83"/>
      <c r="V11" s="83"/>
    </row>
    <row r="12" spans="1:22" ht="36" customHeight="1" x14ac:dyDescent="0.4">
      <c r="A12" s="23" t="s">
        <v>64</v>
      </c>
      <c r="B12" s="1">
        <f>ROUND(FV(B4,B7-B2,,-B11),-3)</f>
        <v>107000</v>
      </c>
      <c r="E12" s="7" t="s">
        <v>3</v>
      </c>
      <c r="F12" s="24">
        <f>(1+B6)/(1+B5)-1</f>
        <v>9.4339622641510523E-3</v>
      </c>
      <c r="J12" s="85" t="s">
        <v>70</v>
      </c>
      <c r="K12" s="85"/>
      <c r="L12" s="85"/>
      <c r="M12" s="85"/>
      <c r="N12" s="85"/>
      <c r="O12" s="85"/>
      <c r="P12" s="85"/>
      <c r="Q12" s="85"/>
      <c r="R12" s="85"/>
      <c r="S12" s="85"/>
      <c r="T12" s="85"/>
      <c r="U12" s="85"/>
      <c r="V12" s="85"/>
    </row>
    <row r="13" spans="1:22" x14ac:dyDescent="0.4">
      <c r="A13" s="11" t="s">
        <v>12</v>
      </c>
      <c r="B13" s="1">
        <f>ROUND(PV(F12/12,$F$10*12,-B12),-6)/100000</f>
        <v>380</v>
      </c>
      <c r="J13" s="83" t="s">
        <v>71</v>
      </c>
      <c r="K13" s="83"/>
      <c r="L13" s="83"/>
      <c r="M13" s="83"/>
      <c r="N13" s="83"/>
      <c r="O13" s="83"/>
      <c r="P13" s="83"/>
      <c r="Q13" s="83"/>
      <c r="R13" s="83"/>
      <c r="S13" s="83"/>
      <c r="T13" s="83"/>
      <c r="U13" s="83"/>
      <c r="V13" s="83"/>
    </row>
    <row r="14" spans="1:22" ht="16" hidden="1" customHeight="1" x14ac:dyDescent="0.4">
      <c r="A14" s="25" t="s">
        <v>29</v>
      </c>
      <c r="B14" s="26" t="s">
        <v>14</v>
      </c>
      <c r="C14" s="27" t="e">
        <f>A14 &amp; " " &amp; B13 &amp; " " &amp;#REF!</f>
        <v>#REF!</v>
      </c>
    </row>
    <row r="15" spans="1:22" x14ac:dyDescent="0.4">
      <c r="A15" s="3" t="str">
        <f>A14&amp;" "&amp;B13/100&amp;" "&amp;B14</f>
        <v>Retirement Corpus Required -  3.8 Crores</v>
      </c>
      <c r="B15" s="3"/>
    </row>
    <row r="16" spans="1:22" x14ac:dyDescent="0.4">
      <c r="J16" s="60" t="s">
        <v>38</v>
      </c>
      <c r="K16" s="60"/>
      <c r="L16" s="60"/>
      <c r="M16" s="60"/>
      <c r="N16" s="60"/>
      <c r="O16" s="60"/>
      <c r="P16" s="60"/>
    </row>
    <row r="17" spans="10:16" x14ac:dyDescent="0.4">
      <c r="J17" s="60"/>
      <c r="K17" s="60"/>
      <c r="L17" s="60"/>
      <c r="M17" s="60"/>
      <c r="N17" s="60"/>
      <c r="O17" s="60"/>
      <c r="P17" s="60"/>
    </row>
    <row r="18" spans="10:16" x14ac:dyDescent="0.4">
      <c r="J18" s="19" t="s">
        <v>37</v>
      </c>
      <c r="K18" s="19"/>
      <c r="L18" s="19"/>
      <c r="M18" s="19"/>
      <c r="N18" s="19"/>
      <c r="O18" s="19"/>
      <c r="P18" s="19"/>
    </row>
    <row r="19" spans="10:16" x14ac:dyDescent="0.4">
      <c r="J19" s="19"/>
      <c r="K19" s="19"/>
      <c r="L19" s="19"/>
      <c r="M19" s="19"/>
      <c r="N19" s="19"/>
      <c r="O19" s="19"/>
      <c r="P19" s="19"/>
    </row>
    <row r="20" spans="10:16" x14ac:dyDescent="0.4">
      <c r="J20" s="19"/>
      <c r="K20" s="19"/>
      <c r="L20" s="19"/>
      <c r="M20" s="19"/>
      <c r="N20" s="19"/>
      <c r="O20" s="19"/>
      <c r="P20" s="19"/>
    </row>
    <row r="21" spans="10:16" x14ac:dyDescent="0.4">
      <c r="J21" s="19"/>
      <c r="K21" s="19"/>
      <c r="L21" s="19"/>
      <c r="M21" s="19"/>
      <c r="N21" s="19"/>
      <c r="O21" s="19"/>
      <c r="P21" s="19"/>
    </row>
    <row r="22" spans="10:16" x14ac:dyDescent="0.4">
      <c r="J22" s="19"/>
      <c r="K22" s="19"/>
      <c r="L22" s="19"/>
      <c r="M22" s="19"/>
      <c r="N22" s="19"/>
      <c r="O22" s="19"/>
      <c r="P22" s="19"/>
    </row>
    <row r="23" spans="10:16" x14ac:dyDescent="0.4">
      <c r="J23" s="19"/>
      <c r="K23" s="19"/>
      <c r="L23" s="19"/>
      <c r="M23" s="19"/>
      <c r="N23" s="19"/>
      <c r="O23" s="19"/>
      <c r="P23" s="19"/>
    </row>
    <row r="24" spans="10:16" x14ac:dyDescent="0.4">
      <c r="J24" s="19"/>
      <c r="K24" s="19"/>
      <c r="L24" s="19"/>
      <c r="M24" s="19"/>
      <c r="N24" s="19"/>
      <c r="O24" s="19"/>
      <c r="P24" s="19"/>
    </row>
    <row r="25" spans="10:16" x14ac:dyDescent="0.4">
      <c r="J25" s="19"/>
      <c r="K25" s="19"/>
      <c r="L25" s="19"/>
      <c r="M25" s="19"/>
      <c r="N25" s="19"/>
      <c r="O25" s="19"/>
      <c r="P25" s="19"/>
    </row>
  </sheetData>
  <sheetProtection algorithmName="SHA-512" hashValue="hLRpDzqCZqUl+f2owETepPgPqYasW7/n8cudKSW9pdilx+i1BXfLfwQQugh9kMaXv2MbPAX+lAnt2yxtm5/cRA==" saltValue="7Oo848UJooVr2tyaXj3zvw==" spinCount="100000" sheet="1" objects="1" scenarios="1"/>
  <mergeCells count="15">
    <mergeCell ref="J6:V6"/>
    <mergeCell ref="J12:V12"/>
    <mergeCell ref="J7:V7"/>
    <mergeCell ref="J8:V8"/>
    <mergeCell ref="J9:V9"/>
    <mergeCell ref="J10:V10"/>
    <mergeCell ref="J11:V11"/>
    <mergeCell ref="J13:V13"/>
    <mergeCell ref="J18:P25"/>
    <mergeCell ref="J16:P17"/>
    <mergeCell ref="A15:B15"/>
    <mergeCell ref="A1:B1"/>
    <mergeCell ref="E1:E2"/>
    <mergeCell ref="J1:M3"/>
    <mergeCell ref="J4:M4"/>
  </mergeCells>
  <hyperlinks>
    <hyperlink ref="J1:M4" r:id="rId1" display="https://plnr.in/" xr:uid="{A3675332-B9A8-4490-B321-463C9D105226}"/>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AD7B6-8332-42D5-836E-73899790DF49}">
  <dimension ref="A1:T55"/>
  <sheetViews>
    <sheetView workbookViewId="0">
      <selection sqref="A1:XFD1048576"/>
    </sheetView>
  </sheetViews>
  <sheetFormatPr defaultColWidth="9.1796875" defaultRowHeight="16" x14ac:dyDescent="0.4"/>
  <cols>
    <col min="1" max="1" width="5" style="7" bestFit="1" customWidth="1"/>
    <col min="2" max="2" width="13.26953125" style="7" bestFit="1" customWidth="1"/>
    <col min="3" max="3" width="15.453125" style="7" bestFit="1" customWidth="1"/>
    <col min="4" max="4" width="13.7265625" style="7" bestFit="1" customWidth="1"/>
    <col min="5" max="5" width="8.7265625" style="50" bestFit="1" customWidth="1"/>
    <col min="6" max="6" width="8" style="50" bestFit="1" customWidth="1"/>
    <col min="7" max="7" width="20.81640625" style="7" bestFit="1" customWidth="1"/>
    <col min="8" max="9" width="9.1796875" style="7"/>
    <col min="10" max="10" width="17.453125" style="7" bestFit="1" customWidth="1"/>
    <col min="11" max="11" width="10.54296875" style="7" bestFit="1" customWidth="1"/>
    <col min="12" max="15" width="9.1796875" style="7"/>
    <col min="16" max="16" width="14.453125" style="7" customWidth="1"/>
    <col min="17" max="16384" width="9.1796875" style="7"/>
  </cols>
  <sheetData>
    <row r="1" spans="1:20" x14ac:dyDescent="0.4">
      <c r="A1" s="39" t="s">
        <v>17</v>
      </c>
      <c r="B1" s="39"/>
      <c r="C1" s="39"/>
      <c r="D1" s="39"/>
      <c r="E1" s="39"/>
      <c r="F1" s="39"/>
      <c r="G1" s="39"/>
      <c r="H1" s="39"/>
      <c r="J1" s="7" t="s">
        <v>15</v>
      </c>
      <c r="K1" s="20">
        <f>'Retirement Amount'!B12</f>
        <v>107000</v>
      </c>
      <c r="M1" s="8"/>
      <c r="N1" s="8"/>
      <c r="O1" s="8"/>
      <c r="P1" s="8"/>
    </row>
    <row r="2" spans="1:20" x14ac:dyDescent="0.4">
      <c r="A2" s="40" t="s">
        <v>0</v>
      </c>
      <c r="B2" s="40" t="s">
        <v>18</v>
      </c>
      <c r="C2" s="40" t="s">
        <v>19</v>
      </c>
      <c r="D2" s="40" t="s">
        <v>16</v>
      </c>
      <c r="E2" s="41" t="s">
        <v>1</v>
      </c>
      <c r="F2" s="41" t="s">
        <v>2</v>
      </c>
      <c r="G2" s="40" t="s">
        <v>20</v>
      </c>
      <c r="H2" s="40" t="s">
        <v>23</v>
      </c>
      <c r="J2" s="7" t="s">
        <v>21</v>
      </c>
      <c r="K2" s="55">
        <f>'Retirement Amount'!B5</f>
        <v>0.06</v>
      </c>
      <c r="M2" s="8"/>
      <c r="N2" s="8"/>
      <c r="O2" s="8"/>
      <c r="P2" s="8"/>
    </row>
    <row r="3" spans="1:20" x14ac:dyDescent="0.4">
      <c r="A3" s="42">
        <v>1</v>
      </c>
      <c r="B3" s="43">
        <f>'Retirement Amount'!B13*100000</f>
        <v>38000000</v>
      </c>
      <c r="C3" s="44">
        <f>K1*12</f>
        <v>1284000</v>
      </c>
      <c r="D3" s="44">
        <f>B3-C3</f>
        <v>36716000</v>
      </c>
      <c r="E3" s="51">
        <f>$K$2</f>
        <v>0.06</v>
      </c>
      <c r="F3" s="52">
        <f>$K$3</f>
        <v>7.0000000000000007E-2</v>
      </c>
      <c r="G3" s="45">
        <f>FV(F3,1,,-D3)</f>
        <v>39286120</v>
      </c>
      <c r="H3" s="46">
        <f>C3/B3</f>
        <v>3.3789473684210529E-2</v>
      </c>
      <c r="J3" s="7" t="s">
        <v>22</v>
      </c>
      <c r="K3" s="56">
        <f>'Retirement Amount'!B6</f>
        <v>7.0000000000000007E-2</v>
      </c>
      <c r="M3" s="8"/>
      <c r="N3" s="8"/>
      <c r="O3" s="8"/>
      <c r="P3" s="8"/>
    </row>
    <row r="4" spans="1:20" x14ac:dyDescent="0.4">
      <c r="A4" s="40">
        <v>2</v>
      </c>
      <c r="B4" s="47">
        <f>G3</f>
        <v>39286120</v>
      </c>
      <c r="C4" s="48">
        <f>C3*(1+E3)</f>
        <v>1361040</v>
      </c>
      <c r="D4" s="48">
        <f>B4-C4</f>
        <v>37925080</v>
      </c>
      <c r="E4" s="53">
        <f t="shared" ref="E4:E55" si="0">$K$2</f>
        <v>0.06</v>
      </c>
      <c r="F4" s="54">
        <f t="shared" ref="F4:F55" si="1">$K$3</f>
        <v>7.0000000000000007E-2</v>
      </c>
      <c r="G4" s="49">
        <f>FV(F4,1,,-D4)</f>
        <v>40579835.600000001</v>
      </c>
      <c r="H4" s="46">
        <f t="shared" ref="H4:H55" si="2">C4/B4</f>
        <v>3.4644296764353419E-2</v>
      </c>
      <c r="M4" s="15" t="s">
        <v>34</v>
      </c>
      <c r="N4" s="15"/>
      <c r="O4" s="15"/>
      <c r="P4" s="15"/>
    </row>
    <row r="5" spans="1:20" x14ac:dyDescent="0.4">
      <c r="A5" s="40">
        <v>3</v>
      </c>
      <c r="B5" s="47">
        <f t="shared" ref="B5:B55" si="3">G4</f>
        <v>40579835.600000001</v>
      </c>
      <c r="C5" s="48">
        <f t="shared" ref="C5:C55" si="4">C4*(1+E4)</f>
        <v>1442702.4000000001</v>
      </c>
      <c r="D5" s="48">
        <f t="shared" ref="D5:D55" si="5">B5-C5</f>
        <v>39137133.200000003</v>
      </c>
      <c r="E5" s="53">
        <f t="shared" si="0"/>
        <v>0.06</v>
      </c>
      <c r="F5" s="54">
        <f t="shared" si="1"/>
        <v>7.0000000000000007E-2</v>
      </c>
      <c r="G5" s="49">
        <f t="shared" ref="G5:G55" si="6">FV(F5,1,,-D5)</f>
        <v>41876732.524000004</v>
      </c>
      <c r="H5" s="46">
        <f t="shared" si="2"/>
        <v>3.5552199230693783E-2</v>
      </c>
    </row>
    <row r="6" spans="1:20" x14ac:dyDescent="0.4">
      <c r="A6" s="40">
        <v>4</v>
      </c>
      <c r="B6" s="47">
        <f t="shared" si="3"/>
        <v>41876732.524000004</v>
      </c>
      <c r="C6" s="48">
        <f t="shared" si="4"/>
        <v>1529264.5440000002</v>
      </c>
      <c r="D6" s="48">
        <f t="shared" si="5"/>
        <v>40347467.980000004</v>
      </c>
      <c r="E6" s="53">
        <f t="shared" si="0"/>
        <v>0.06</v>
      </c>
      <c r="F6" s="54">
        <f t="shared" si="1"/>
        <v>7.0000000000000007E-2</v>
      </c>
      <c r="G6" s="49">
        <f t="shared" si="6"/>
        <v>43171790.738600008</v>
      </c>
      <c r="H6" s="46">
        <f t="shared" si="2"/>
        <v>3.6518239409523229E-2</v>
      </c>
      <c r="I6" s="75" t="s">
        <v>35</v>
      </c>
      <c r="J6" s="6"/>
      <c r="K6" s="6"/>
      <c r="L6" s="6"/>
      <c r="M6" s="6"/>
      <c r="N6" s="6"/>
      <c r="O6" s="6"/>
      <c r="P6" s="6"/>
      <c r="Q6" s="6"/>
      <c r="R6" s="6"/>
      <c r="S6" s="6"/>
      <c r="T6" s="6"/>
    </row>
    <row r="7" spans="1:20" x14ac:dyDescent="0.4">
      <c r="A7" s="40">
        <v>5</v>
      </c>
      <c r="B7" s="47">
        <f t="shared" si="3"/>
        <v>43171790.738600008</v>
      </c>
      <c r="C7" s="48">
        <f t="shared" si="4"/>
        <v>1621020.4166400004</v>
      </c>
      <c r="D7" s="48">
        <f t="shared" si="5"/>
        <v>41550770.32196001</v>
      </c>
      <c r="E7" s="53">
        <f t="shared" si="0"/>
        <v>0.06</v>
      </c>
      <c r="F7" s="54">
        <f t="shared" si="1"/>
        <v>7.0000000000000007E-2</v>
      </c>
      <c r="G7" s="49">
        <f t="shared" si="6"/>
        <v>44459324.24449721</v>
      </c>
      <c r="H7" s="46">
        <f t="shared" si="2"/>
        <v>3.7548139396280406E-2</v>
      </c>
      <c r="I7" s="62" t="s">
        <v>40</v>
      </c>
      <c r="J7" s="63"/>
      <c r="K7" s="63"/>
      <c r="L7" s="63"/>
      <c r="M7" s="63"/>
      <c r="N7" s="63"/>
      <c r="O7" s="63"/>
      <c r="P7" s="63"/>
      <c r="Q7" s="63"/>
      <c r="R7" s="63"/>
      <c r="S7" s="63"/>
      <c r="T7" s="64"/>
    </row>
    <row r="8" spans="1:20" x14ac:dyDescent="0.4">
      <c r="A8" s="40">
        <v>6</v>
      </c>
      <c r="B8" s="47">
        <f t="shared" si="3"/>
        <v>44459324.24449721</v>
      </c>
      <c r="C8" s="48">
        <f t="shared" si="4"/>
        <v>1718281.6416384005</v>
      </c>
      <c r="D8" s="48">
        <f t="shared" si="5"/>
        <v>42741042.602858812</v>
      </c>
      <c r="E8" s="53">
        <f t="shared" si="0"/>
        <v>0.06</v>
      </c>
      <c r="F8" s="54">
        <f t="shared" si="1"/>
        <v>7.0000000000000007E-2</v>
      </c>
      <c r="G8" s="49">
        <f t="shared" si="6"/>
        <v>45732915.585058928</v>
      </c>
      <c r="H8" s="46">
        <f t="shared" si="2"/>
        <v>3.8648397627210326E-2</v>
      </c>
      <c r="I8" s="61" t="s">
        <v>41</v>
      </c>
      <c r="J8" s="61"/>
      <c r="K8" s="61"/>
      <c r="L8" s="61"/>
      <c r="M8" s="61"/>
      <c r="N8" s="61"/>
      <c r="O8" s="61"/>
      <c r="P8" s="61"/>
      <c r="Q8" s="61"/>
      <c r="R8" s="61"/>
      <c r="S8" s="61"/>
      <c r="T8" s="61"/>
    </row>
    <row r="9" spans="1:20" x14ac:dyDescent="0.4">
      <c r="A9" s="40">
        <v>7</v>
      </c>
      <c r="B9" s="47">
        <f t="shared" si="3"/>
        <v>45732915.585058928</v>
      </c>
      <c r="C9" s="48">
        <f t="shared" si="4"/>
        <v>1821378.5401367047</v>
      </c>
      <c r="D9" s="48">
        <f t="shared" si="5"/>
        <v>43911537.044922225</v>
      </c>
      <c r="E9" s="53">
        <f t="shared" si="0"/>
        <v>0.06</v>
      </c>
      <c r="F9" s="54">
        <f t="shared" si="1"/>
        <v>7.0000000000000007E-2</v>
      </c>
      <c r="G9" s="49">
        <f t="shared" si="6"/>
        <v>46985344.638066784</v>
      </c>
      <c r="H9" s="46">
        <f t="shared" si="2"/>
        <v>3.9826425165242561E-2</v>
      </c>
      <c r="I9" s="65" t="s">
        <v>42</v>
      </c>
      <c r="J9" s="66"/>
      <c r="K9" s="66"/>
      <c r="L9" s="66"/>
      <c r="M9" s="66"/>
      <c r="N9" s="66"/>
      <c r="O9" s="66"/>
      <c r="P9" s="66"/>
      <c r="Q9" s="66"/>
      <c r="R9" s="66"/>
      <c r="S9" s="66"/>
      <c r="T9" s="67"/>
    </row>
    <row r="10" spans="1:20" x14ac:dyDescent="0.4">
      <c r="A10" s="40">
        <v>8</v>
      </c>
      <c r="B10" s="47">
        <f t="shared" si="3"/>
        <v>46985344.638066784</v>
      </c>
      <c r="C10" s="48">
        <f t="shared" si="4"/>
        <v>1930661.2525449072</v>
      </c>
      <c r="D10" s="48">
        <f t="shared" si="5"/>
        <v>45054683.385521874</v>
      </c>
      <c r="E10" s="53">
        <f t="shared" si="0"/>
        <v>0.06</v>
      </c>
      <c r="F10" s="54">
        <f t="shared" si="1"/>
        <v>7.0000000000000007E-2</v>
      </c>
      <c r="G10" s="49">
        <f t="shared" si="6"/>
        <v>48208511.222508408</v>
      </c>
      <c r="H10" s="46">
        <f t="shared" si="2"/>
        <v>4.1090711740373528E-2</v>
      </c>
      <c r="I10" s="68" t="s">
        <v>55</v>
      </c>
      <c r="J10" s="69"/>
      <c r="K10" s="69"/>
      <c r="L10" s="69"/>
      <c r="M10" s="69"/>
      <c r="N10" s="69"/>
      <c r="O10" s="69"/>
      <c r="P10" s="69"/>
      <c r="Q10" s="69"/>
      <c r="R10" s="69"/>
      <c r="S10" s="69"/>
      <c r="T10" s="70"/>
    </row>
    <row r="11" spans="1:20" x14ac:dyDescent="0.4">
      <c r="A11" s="40">
        <v>9</v>
      </c>
      <c r="B11" s="47">
        <f t="shared" si="3"/>
        <v>48208511.222508408</v>
      </c>
      <c r="C11" s="48">
        <f t="shared" si="4"/>
        <v>2046500.9276976017</v>
      </c>
      <c r="D11" s="48">
        <f t="shared" si="5"/>
        <v>46162010.294810809</v>
      </c>
      <c r="E11" s="53">
        <f t="shared" si="0"/>
        <v>0.06</v>
      </c>
      <c r="F11" s="54">
        <f t="shared" si="1"/>
        <v>7.0000000000000007E-2</v>
      </c>
      <c r="G11" s="49">
        <f t="shared" si="6"/>
        <v>49393351.015447572</v>
      </c>
      <c r="H11" s="46">
        <f t="shared" si="2"/>
        <v>4.2451029409555724E-2</v>
      </c>
      <c r="I11" s="71" t="s">
        <v>43</v>
      </c>
      <c r="J11" s="72"/>
      <c r="K11" s="72"/>
      <c r="L11" s="72"/>
      <c r="M11" s="72"/>
      <c r="N11" s="72"/>
      <c r="O11" s="72"/>
      <c r="P11" s="72"/>
      <c r="Q11" s="72"/>
      <c r="R11" s="72"/>
      <c r="S11" s="72"/>
      <c r="T11" s="73"/>
    </row>
    <row r="12" spans="1:20" x14ac:dyDescent="0.4">
      <c r="A12" s="40">
        <v>10</v>
      </c>
      <c r="B12" s="47">
        <f t="shared" si="3"/>
        <v>49393351.015447572</v>
      </c>
      <c r="C12" s="48">
        <f t="shared" si="4"/>
        <v>2169290.9833594579</v>
      </c>
      <c r="D12" s="48">
        <f t="shared" si="5"/>
        <v>47224060.032088116</v>
      </c>
      <c r="E12" s="53">
        <f t="shared" si="0"/>
        <v>0.06</v>
      </c>
      <c r="F12" s="54">
        <f t="shared" si="1"/>
        <v>7.0000000000000007E-2</v>
      </c>
      <c r="G12" s="49">
        <f t="shared" si="6"/>
        <v>50529744.23433429</v>
      </c>
      <c r="H12" s="46">
        <f t="shared" si="2"/>
        <v>4.39186841702848E-2</v>
      </c>
    </row>
    <row r="13" spans="1:20" x14ac:dyDescent="0.4">
      <c r="A13" s="40">
        <v>11</v>
      </c>
      <c r="B13" s="47">
        <f t="shared" si="3"/>
        <v>50529744.23433429</v>
      </c>
      <c r="C13" s="48">
        <f t="shared" si="4"/>
        <v>2299448.4423610256</v>
      </c>
      <c r="D13" s="48">
        <f t="shared" si="5"/>
        <v>48230295.791973263</v>
      </c>
      <c r="E13" s="53">
        <f t="shared" si="0"/>
        <v>0.06</v>
      </c>
      <c r="F13" s="54">
        <f t="shared" si="1"/>
        <v>7.0000000000000007E-2</v>
      </c>
      <c r="G13" s="49">
        <f t="shared" si="6"/>
        <v>51606416.497411393</v>
      </c>
      <c r="H13" s="46">
        <f t="shared" si="2"/>
        <v>4.5506829238976851E-2</v>
      </c>
      <c r="I13" s="74" t="s">
        <v>38</v>
      </c>
      <c r="J13" s="74"/>
      <c r="K13" s="74"/>
      <c r="L13" s="74"/>
      <c r="M13" s="74"/>
      <c r="N13" s="74"/>
      <c r="O13" s="74"/>
    </row>
    <row r="14" spans="1:20" x14ac:dyDescent="0.4">
      <c r="A14" s="40">
        <v>12</v>
      </c>
      <c r="B14" s="47">
        <f t="shared" si="3"/>
        <v>51606416.497411393</v>
      </c>
      <c r="C14" s="48">
        <f t="shared" si="4"/>
        <v>2437415.3489026874</v>
      </c>
      <c r="D14" s="48">
        <f t="shared" si="5"/>
        <v>49169001.148508705</v>
      </c>
      <c r="E14" s="53">
        <f t="shared" si="0"/>
        <v>0.06</v>
      </c>
      <c r="F14" s="54">
        <f t="shared" si="1"/>
        <v>7.0000000000000007E-2</v>
      </c>
      <c r="G14" s="49">
        <f t="shared" si="6"/>
        <v>52610831.228904314</v>
      </c>
      <c r="H14" s="46">
        <f t="shared" si="2"/>
        <v>4.7230858376398788E-2</v>
      </c>
      <c r="I14" s="74"/>
      <c r="J14" s="74"/>
      <c r="K14" s="74"/>
      <c r="L14" s="74"/>
      <c r="M14" s="74"/>
      <c r="N14" s="74"/>
      <c r="O14" s="74"/>
    </row>
    <row r="15" spans="1:20" x14ac:dyDescent="0.4">
      <c r="A15" s="40">
        <v>13</v>
      </c>
      <c r="B15" s="47">
        <f t="shared" si="3"/>
        <v>52610831.228904314</v>
      </c>
      <c r="C15" s="48">
        <f t="shared" si="4"/>
        <v>2583660.2698368486</v>
      </c>
      <c r="D15" s="48">
        <f t="shared" si="5"/>
        <v>50027170.959067464</v>
      </c>
      <c r="E15" s="53">
        <f>$K$2</f>
        <v>0.06</v>
      </c>
      <c r="F15" s="54">
        <f t="shared" si="1"/>
        <v>7.0000000000000007E-2</v>
      </c>
      <c r="G15" s="49">
        <f t="shared" si="6"/>
        <v>53529072.926202193</v>
      </c>
      <c r="H15" s="46">
        <f t="shared" si="2"/>
        <v>4.9108904183543661E-2</v>
      </c>
    </row>
    <row r="16" spans="1:20" x14ac:dyDescent="0.4">
      <c r="A16" s="40">
        <v>14</v>
      </c>
      <c r="B16" s="47">
        <f t="shared" si="3"/>
        <v>53529072.926202193</v>
      </c>
      <c r="C16" s="48">
        <f t="shared" si="4"/>
        <v>2738679.8860270595</v>
      </c>
      <c r="D16" s="48">
        <f t="shared" si="5"/>
        <v>50790393.040175132</v>
      </c>
      <c r="E16" s="53">
        <f t="shared" si="0"/>
        <v>0.06</v>
      </c>
      <c r="F16" s="54">
        <f>$K$3</f>
        <v>7.0000000000000007E-2</v>
      </c>
      <c r="G16" s="49">
        <f t="shared" si="6"/>
        <v>54345720.552987397</v>
      </c>
      <c r="H16" s="46">
        <f t="shared" si="2"/>
        <v>5.1162475572904806E-2</v>
      </c>
      <c r="I16" s="19" t="s">
        <v>37</v>
      </c>
      <c r="J16" s="19"/>
      <c r="K16" s="19"/>
      <c r="L16" s="19"/>
      <c r="M16" s="19"/>
      <c r="N16" s="19"/>
      <c r="O16" s="19"/>
    </row>
    <row r="17" spans="1:15" x14ac:dyDescent="0.4">
      <c r="A17" s="40">
        <v>15</v>
      </c>
      <c r="B17" s="47">
        <f t="shared" si="3"/>
        <v>54345720.552987397</v>
      </c>
      <c r="C17" s="48">
        <f t="shared" si="4"/>
        <v>2903000.6791886832</v>
      </c>
      <c r="D17" s="48">
        <f t="shared" si="5"/>
        <v>51442719.873798713</v>
      </c>
      <c r="E17" s="53">
        <f t="shared" si="0"/>
        <v>0.06</v>
      </c>
      <c r="F17" s="54">
        <f t="shared" si="1"/>
        <v>7.0000000000000007E-2</v>
      </c>
      <c r="G17" s="49">
        <f t="shared" si="6"/>
        <v>55043710.264964625</v>
      </c>
      <c r="H17" s="46">
        <f t="shared" si="2"/>
        <v>5.3417281980063923E-2</v>
      </c>
      <c r="I17" s="19"/>
      <c r="J17" s="19"/>
      <c r="K17" s="19"/>
      <c r="L17" s="19"/>
      <c r="M17" s="19"/>
      <c r="N17" s="19"/>
      <c r="O17" s="19"/>
    </row>
    <row r="18" spans="1:15" x14ac:dyDescent="0.4">
      <c r="A18" s="40">
        <v>16</v>
      </c>
      <c r="B18" s="47">
        <f t="shared" si="3"/>
        <v>55043710.264964625</v>
      </c>
      <c r="C18" s="48">
        <f t="shared" si="4"/>
        <v>3077180.7199400044</v>
      </c>
      <c r="D18" s="48">
        <f t="shared" si="5"/>
        <v>51966529.545024619</v>
      </c>
      <c r="E18" s="53">
        <f t="shared" si="0"/>
        <v>0.06</v>
      </c>
      <c r="F18" s="54">
        <f t="shared" si="1"/>
        <v>7.0000000000000007E-2</v>
      </c>
      <c r="G18" s="49">
        <f t="shared" si="6"/>
        <v>55604186.613176346</v>
      </c>
      <c r="H18" s="46">
        <f t="shared" si="2"/>
        <v>5.5904311412281978E-2</v>
      </c>
      <c r="I18" s="19"/>
      <c r="J18" s="19"/>
      <c r="K18" s="19"/>
      <c r="L18" s="19"/>
      <c r="M18" s="19"/>
      <c r="N18" s="19"/>
      <c r="O18" s="19"/>
    </row>
    <row r="19" spans="1:15" x14ac:dyDescent="0.4">
      <c r="A19" s="40">
        <v>17</v>
      </c>
      <c r="B19" s="47">
        <f t="shared" si="3"/>
        <v>55604186.613176346</v>
      </c>
      <c r="C19" s="48">
        <f t="shared" si="4"/>
        <v>3261811.5631364048</v>
      </c>
      <c r="D19" s="48">
        <f t="shared" si="5"/>
        <v>52342375.05003994</v>
      </c>
      <c r="E19" s="53">
        <f t="shared" si="0"/>
        <v>0.06</v>
      </c>
      <c r="F19" s="54">
        <f t="shared" si="1"/>
        <v>7.0000000000000007E-2</v>
      </c>
      <c r="G19" s="49">
        <f t="shared" si="6"/>
        <v>56006341.303542741</v>
      </c>
      <c r="H19" s="46">
        <f t="shared" si="2"/>
        <v>5.8661258473718302E-2</v>
      </c>
      <c r="I19" s="19"/>
      <c r="J19" s="19"/>
      <c r="K19" s="19"/>
      <c r="L19" s="19"/>
      <c r="M19" s="19"/>
      <c r="N19" s="19"/>
      <c r="O19" s="19"/>
    </row>
    <row r="20" spans="1:15" x14ac:dyDescent="0.4">
      <c r="A20" s="40">
        <v>18</v>
      </c>
      <c r="B20" s="47">
        <f t="shared" si="3"/>
        <v>56006341.303542741</v>
      </c>
      <c r="C20" s="48">
        <f t="shared" si="4"/>
        <v>3457520.2569245892</v>
      </c>
      <c r="D20" s="48">
        <f t="shared" si="5"/>
        <v>52548821.046618149</v>
      </c>
      <c r="E20" s="53">
        <f t="shared" si="0"/>
        <v>0.06</v>
      </c>
      <c r="F20" s="54">
        <f t="shared" si="1"/>
        <v>7.0000000000000007E-2</v>
      </c>
      <c r="G20" s="49">
        <f t="shared" si="6"/>
        <v>56227238.51988142</v>
      </c>
      <c r="H20" s="46">
        <f t="shared" si="2"/>
        <v>6.1734442501529374E-2</v>
      </c>
      <c r="I20" s="19"/>
      <c r="J20" s="19"/>
      <c r="K20" s="19"/>
      <c r="L20" s="19"/>
      <c r="M20" s="19"/>
      <c r="N20" s="19"/>
      <c r="O20" s="19"/>
    </row>
    <row r="21" spans="1:15" x14ac:dyDescent="0.4">
      <c r="A21" s="40">
        <v>19</v>
      </c>
      <c r="B21" s="47">
        <f t="shared" si="3"/>
        <v>56227238.51988142</v>
      </c>
      <c r="C21" s="48">
        <f t="shared" si="4"/>
        <v>3664971.4723400646</v>
      </c>
      <c r="D21" s="48">
        <f t="shared" si="5"/>
        <v>52562267.047541358</v>
      </c>
      <c r="E21" s="53">
        <f t="shared" si="0"/>
        <v>0.06</v>
      </c>
      <c r="F21" s="54">
        <f t="shared" si="1"/>
        <v>7.0000000000000007E-2</v>
      </c>
      <c r="G21" s="49">
        <f t="shared" si="6"/>
        <v>56241625.740869254</v>
      </c>
      <c r="H21" s="46">
        <f t="shared" si="2"/>
        <v>6.5181423964902091E-2</v>
      </c>
      <c r="I21" s="19"/>
      <c r="J21" s="19"/>
      <c r="K21" s="19"/>
      <c r="L21" s="19"/>
      <c r="M21" s="19"/>
      <c r="N21" s="19"/>
      <c r="O21" s="19"/>
    </row>
    <row r="22" spans="1:15" ht="16" customHeight="1" x14ac:dyDescent="0.4">
      <c r="A22" s="40">
        <v>20</v>
      </c>
      <c r="B22" s="47">
        <f t="shared" si="3"/>
        <v>56241625.740869254</v>
      </c>
      <c r="C22" s="48">
        <f t="shared" si="4"/>
        <v>3884869.7606804688</v>
      </c>
      <c r="D22" s="48">
        <f t="shared" si="5"/>
        <v>52356755.980188787</v>
      </c>
      <c r="E22" s="53">
        <f t="shared" si="0"/>
        <v>0.06</v>
      </c>
      <c r="F22" s="54">
        <f t="shared" si="1"/>
        <v>7.0000000000000007E-2</v>
      </c>
      <c r="G22" s="49">
        <f t="shared" si="6"/>
        <v>56021728.898802005</v>
      </c>
      <c r="H22" s="46">
        <f t="shared" si="2"/>
        <v>6.9074634836834736E-2</v>
      </c>
      <c r="I22" s="19"/>
      <c r="J22" s="19"/>
      <c r="K22" s="19"/>
      <c r="L22" s="19"/>
      <c r="M22" s="19"/>
      <c r="N22" s="19"/>
      <c r="O22" s="19"/>
    </row>
    <row r="23" spans="1:15" x14ac:dyDescent="0.4">
      <c r="A23" s="40">
        <v>21</v>
      </c>
      <c r="B23" s="47">
        <f t="shared" si="3"/>
        <v>56021728.898802005</v>
      </c>
      <c r="C23" s="48">
        <f t="shared" si="4"/>
        <v>4117961.946321297</v>
      </c>
      <c r="D23" s="48">
        <f t="shared" si="5"/>
        <v>51903766.952480711</v>
      </c>
      <c r="E23" s="53">
        <f t="shared" si="0"/>
        <v>0.06</v>
      </c>
      <c r="F23" s="54">
        <f t="shared" si="1"/>
        <v>7.0000000000000007E-2</v>
      </c>
      <c r="G23" s="49">
        <f t="shared" si="6"/>
        <v>55537030.639154367</v>
      </c>
      <c r="H23" s="46">
        <f t="shared" si="2"/>
        <v>7.3506513048892316E-2</v>
      </c>
      <c r="I23" s="19"/>
      <c r="J23" s="19"/>
      <c r="K23" s="19"/>
      <c r="L23" s="19"/>
      <c r="M23" s="19"/>
      <c r="N23" s="19"/>
      <c r="O23" s="19"/>
    </row>
    <row r="24" spans="1:15" ht="16" customHeight="1" x14ac:dyDescent="0.4">
      <c r="A24" s="40">
        <v>22</v>
      </c>
      <c r="B24" s="47">
        <f t="shared" si="3"/>
        <v>55537030.639154367</v>
      </c>
      <c r="C24" s="48">
        <f t="shared" si="4"/>
        <v>4365039.6631005751</v>
      </c>
      <c r="D24" s="48">
        <f t="shared" si="5"/>
        <v>51171990.976053789</v>
      </c>
      <c r="E24" s="53">
        <f t="shared" si="0"/>
        <v>0.06</v>
      </c>
      <c r="F24" s="54">
        <f t="shared" si="1"/>
        <v>7.0000000000000007E-2</v>
      </c>
      <c r="G24" s="49">
        <f t="shared" si="6"/>
        <v>54754030.344377555</v>
      </c>
      <c r="H24" s="46">
        <f t="shared" si="2"/>
        <v>7.859692196116734E-2</v>
      </c>
    </row>
    <row r="25" spans="1:15" x14ac:dyDescent="0.4">
      <c r="A25" s="40">
        <v>23</v>
      </c>
      <c r="B25" s="47">
        <f t="shared" si="3"/>
        <v>54754030.344377555</v>
      </c>
      <c r="C25" s="48">
        <f t="shared" si="4"/>
        <v>4626942.0428866101</v>
      </c>
      <c r="D25" s="48">
        <f t="shared" si="5"/>
        <v>50127088.301490948</v>
      </c>
      <c r="E25" s="53">
        <f t="shared" si="0"/>
        <v>0.06</v>
      </c>
      <c r="F25" s="54">
        <f t="shared" si="1"/>
        <v>7.0000000000000007E-2</v>
      </c>
      <c r="G25" s="49">
        <f t="shared" si="6"/>
        <v>53635984.482595317</v>
      </c>
      <c r="H25" s="46">
        <f t="shared" si="2"/>
        <v>8.4504136294356463E-2</v>
      </c>
    </row>
    <row r="26" spans="1:15" x14ac:dyDescent="0.4">
      <c r="A26" s="40">
        <v>24</v>
      </c>
      <c r="B26" s="47">
        <f t="shared" si="3"/>
        <v>53635984.482595317</v>
      </c>
      <c r="C26" s="48">
        <f t="shared" si="4"/>
        <v>4904558.5654598074</v>
      </c>
      <c r="D26" s="48">
        <f t="shared" si="5"/>
        <v>48731425.917135507</v>
      </c>
      <c r="E26" s="53">
        <f t="shared" si="0"/>
        <v>0.06</v>
      </c>
      <c r="F26" s="54">
        <f t="shared" si="1"/>
        <v>7.0000000000000007E-2</v>
      </c>
      <c r="G26" s="49">
        <f t="shared" si="6"/>
        <v>52142625.731334992</v>
      </c>
      <c r="H26" s="46">
        <f t="shared" si="2"/>
        <v>9.1441568804452894E-2</v>
      </c>
    </row>
    <row r="27" spans="1:15" x14ac:dyDescent="0.4">
      <c r="A27" s="40">
        <v>25</v>
      </c>
      <c r="B27" s="47">
        <f t="shared" si="3"/>
        <v>52142625.731334992</v>
      </c>
      <c r="C27" s="48">
        <f t="shared" si="4"/>
        <v>5198832.0793873966</v>
      </c>
      <c r="D27" s="48">
        <f t="shared" si="5"/>
        <v>46943793.651947595</v>
      </c>
      <c r="E27" s="53">
        <f t="shared" si="0"/>
        <v>0.06</v>
      </c>
      <c r="F27" s="54">
        <f t="shared" si="1"/>
        <v>7.0000000000000007E-2</v>
      </c>
      <c r="G27" s="49">
        <f t="shared" si="6"/>
        <v>50229859.207583927</v>
      </c>
      <c r="H27" s="46">
        <f t="shared" si="2"/>
        <v>9.9704071409337763E-2</v>
      </c>
    </row>
    <row r="28" spans="1:15" x14ac:dyDescent="0.4">
      <c r="A28" s="40">
        <v>26</v>
      </c>
      <c r="B28" s="47">
        <f t="shared" si="3"/>
        <v>50229859.207583927</v>
      </c>
      <c r="C28" s="48">
        <f t="shared" si="4"/>
        <v>5510762.0041506402</v>
      </c>
      <c r="D28" s="48">
        <f t="shared" si="5"/>
        <v>44719097.20343329</v>
      </c>
      <c r="E28" s="53">
        <f t="shared" si="0"/>
        <v>0.06</v>
      </c>
      <c r="F28" s="54">
        <f t="shared" si="1"/>
        <v>7.0000000000000007E-2</v>
      </c>
      <c r="G28" s="49">
        <f t="shared" si="6"/>
        <v>47849434.007673621</v>
      </c>
      <c r="H28" s="46">
        <f t="shared" si="2"/>
        <v>0.10971087896895003</v>
      </c>
    </row>
    <row r="29" spans="1:15" x14ac:dyDescent="0.4">
      <c r="A29" s="40">
        <v>27</v>
      </c>
      <c r="B29" s="47">
        <f t="shared" si="3"/>
        <v>47849434.007673621</v>
      </c>
      <c r="C29" s="48">
        <f t="shared" si="4"/>
        <v>5841407.7243996793</v>
      </c>
      <c r="D29" s="48">
        <f t="shared" si="5"/>
        <v>42008026.283273943</v>
      </c>
      <c r="E29" s="53">
        <f t="shared" si="0"/>
        <v>0.06</v>
      </c>
      <c r="F29" s="54">
        <f t="shared" si="1"/>
        <v>7.0000000000000007E-2</v>
      </c>
      <c r="G29" s="49">
        <f t="shared" si="6"/>
        <v>44948588.123103119</v>
      </c>
      <c r="H29" s="46">
        <f t="shared" si="2"/>
        <v>0.12207893041039716</v>
      </c>
    </row>
    <row r="30" spans="1:15" x14ac:dyDescent="0.4">
      <c r="A30" s="40">
        <v>28</v>
      </c>
      <c r="B30" s="47">
        <f t="shared" si="3"/>
        <v>44948588.123103119</v>
      </c>
      <c r="C30" s="48">
        <f t="shared" si="4"/>
        <v>6191892.18786366</v>
      </c>
      <c r="D30" s="48">
        <f t="shared" si="5"/>
        <v>38756695.935239457</v>
      </c>
      <c r="E30" s="53">
        <f t="shared" si="0"/>
        <v>0.06</v>
      </c>
      <c r="F30" s="54">
        <f t="shared" si="1"/>
        <v>7.0000000000000007E-2</v>
      </c>
      <c r="G30" s="49">
        <f t="shared" si="6"/>
        <v>41469664.650706224</v>
      </c>
      <c r="H30" s="46">
        <f t="shared" si="2"/>
        <v>0.13775498734032737</v>
      </c>
    </row>
    <row r="31" spans="1:15" x14ac:dyDescent="0.4">
      <c r="A31" s="40">
        <v>29</v>
      </c>
      <c r="B31" s="47">
        <f t="shared" si="3"/>
        <v>41469664.650706224</v>
      </c>
      <c r="C31" s="48">
        <f t="shared" si="4"/>
        <v>6563405.71913548</v>
      </c>
      <c r="D31" s="48">
        <f t="shared" si="5"/>
        <v>34906258.931570746</v>
      </c>
      <c r="E31" s="53">
        <f t="shared" si="0"/>
        <v>0.06</v>
      </c>
      <c r="F31" s="54">
        <f t="shared" si="1"/>
        <v>7.0000000000000007E-2</v>
      </c>
      <c r="G31" s="49">
        <f t="shared" si="6"/>
        <v>37349697.056780703</v>
      </c>
      <c r="H31" s="46">
        <f t="shared" si="2"/>
        <v>0.15827004569287506</v>
      </c>
    </row>
    <row r="32" spans="1:15" x14ac:dyDescent="0.4">
      <c r="A32" s="40">
        <v>30</v>
      </c>
      <c r="B32" s="47">
        <f t="shared" si="3"/>
        <v>37349697.056780703</v>
      </c>
      <c r="C32" s="48">
        <f t="shared" si="4"/>
        <v>6957210.0622836091</v>
      </c>
      <c r="D32" s="48">
        <f t="shared" si="5"/>
        <v>30392486.994497094</v>
      </c>
      <c r="E32" s="53">
        <f t="shared" si="0"/>
        <v>0.06</v>
      </c>
      <c r="F32" s="54">
        <f t="shared" si="1"/>
        <v>7.0000000000000007E-2</v>
      </c>
      <c r="G32" s="49">
        <f t="shared" si="6"/>
        <v>32519961.084111892</v>
      </c>
      <c r="H32" s="46">
        <f t="shared" si="2"/>
        <v>0.18627219523914593</v>
      </c>
    </row>
    <row r="33" spans="1:8" x14ac:dyDescent="0.4">
      <c r="A33" s="40">
        <v>31</v>
      </c>
      <c r="B33" s="47">
        <f t="shared" si="3"/>
        <v>32519961.084111892</v>
      </c>
      <c r="C33" s="48">
        <f t="shared" si="4"/>
        <v>7374642.6660206262</v>
      </c>
      <c r="D33" s="48">
        <f t="shared" si="5"/>
        <v>25145318.418091267</v>
      </c>
      <c r="E33" s="53">
        <f t="shared" si="0"/>
        <v>0.06</v>
      </c>
      <c r="F33" s="54">
        <f t="shared" si="1"/>
        <v>7.0000000000000007E-2</v>
      </c>
      <c r="G33" s="49">
        <f t="shared" si="6"/>
        <v>26905490.707357656</v>
      </c>
      <c r="H33" s="46">
        <f t="shared" si="2"/>
        <v>0.22677280107889233</v>
      </c>
    </row>
    <row r="34" spans="1:8" x14ac:dyDescent="0.4">
      <c r="A34" s="40">
        <v>32</v>
      </c>
      <c r="B34" s="47">
        <f t="shared" si="3"/>
        <v>26905490.707357656</v>
      </c>
      <c r="C34" s="48">
        <f t="shared" si="4"/>
        <v>7817121.2259818641</v>
      </c>
      <c r="D34" s="48">
        <f t="shared" si="5"/>
        <v>19088369.481375791</v>
      </c>
      <c r="E34" s="53">
        <f t="shared" si="0"/>
        <v>0.06</v>
      </c>
      <c r="F34" s="54">
        <f t="shared" si="1"/>
        <v>7.0000000000000007E-2</v>
      </c>
      <c r="G34" s="49">
        <f t="shared" si="6"/>
        <v>20424555.345072098</v>
      </c>
      <c r="H34" s="46">
        <f t="shared" si="2"/>
        <v>0.29053999835967204</v>
      </c>
    </row>
    <row r="35" spans="1:8" x14ac:dyDescent="0.4">
      <c r="A35" s="40">
        <v>33</v>
      </c>
      <c r="B35" s="47">
        <f t="shared" si="3"/>
        <v>20424555.345072098</v>
      </c>
      <c r="C35" s="48">
        <f t="shared" si="4"/>
        <v>8286148.499540776</v>
      </c>
      <c r="D35" s="48">
        <f t="shared" si="5"/>
        <v>12138406.845531322</v>
      </c>
      <c r="E35" s="53">
        <f t="shared" si="0"/>
        <v>0.06</v>
      </c>
      <c r="F35" s="54">
        <f t="shared" si="1"/>
        <v>7.0000000000000007E-2</v>
      </c>
      <c r="G35" s="49">
        <f t="shared" si="6"/>
        <v>12988095.324718514</v>
      </c>
      <c r="H35" s="46">
        <f t="shared" si="2"/>
        <v>0.40569541708725637</v>
      </c>
    </row>
    <row r="36" spans="1:8" x14ac:dyDescent="0.4">
      <c r="A36" s="40">
        <v>34</v>
      </c>
      <c r="B36" s="47">
        <f t="shared" si="3"/>
        <v>12988095.324718514</v>
      </c>
      <c r="C36" s="48">
        <f t="shared" si="4"/>
        <v>8783317.4095132239</v>
      </c>
      <c r="D36" s="48">
        <f t="shared" si="5"/>
        <v>4204777.9152052905</v>
      </c>
      <c r="E36" s="53">
        <f t="shared" si="0"/>
        <v>0.06</v>
      </c>
      <c r="F36" s="54">
        <f t="shared" si="1"/>
        <v>7.0000000000000007E-2</v>
      </c>
      <c r="G36" s="49">
        <f t="shared" si="6"/>
        <v>4499112.3692696616</v>
      </c>
      <c r="H36" s="46">
        <f t="shared" si="2"/>
        <v>0.67625908109845057</v>
      </c>
    </row>
    <row r="37" spans="1:8" x14ac:dyDescent="0.4">
      <c r="A37" s="40">
        <v>35</v>
      </c>
      <c r="B37" s="47">
        <f t="shared" si="3"/>
        <v>4499112.3692696616</v>
      </c>
      <c r="C37" s="48">
        <f t="shared" si="4"/>
        <v>9310316.4540840182</v>
      </c>
      <c r="D37" s="48">
        <f t="shared" si="5"/>
        <v>-4811204.0848143566</v>
      </c>
      <c r="E37" s="53">
        <f t="shared" si="0"/>
        <v>0.06</v>
      </c>
      <c r="F37" s="54">
        <f t="shared" si="1"/>
        <v>7.0000000000000007E-2</v>
      </c>
      <c r="G37" s="49">
        <f t="shared" si="6"/>
        <v>-5147988.3707513623</v>
      </c>
      <c r="H37" s="46">
        <f t="shared" si="2"/>
        <v>2.0693673973729525</v>
      </c>
    </row>
    <row r="38" spans="1:8" x14ac:dyDescent="0.4">
      <c r="A38" s="40">
        <v>36</v>
      </c>
      <c r="B38" s="47">
        <f t="shared" si="3"/>
        <v>-5147988.3707513623</v>
      </c>
      <c r="C38" s="48">
        <f t="shared" si="4"/>
        <v>9868935.4413290601</v>
      </c>
      <c r="D38" s="48">
        <f t="shared" si="5"/>
        <v>-15016923.812080422</v>
      </c>
      <c r="E38" s="53">
        <f t="shared" si="0"/>
        <v>0.06</v>
      </c>
      <c r="F38" s="54">
        <f t="shared" si="1"/>
        <v>7.0000000000000007E-2</v>
      </c>
      <c r="G38" s="49">
        <f t="shared" si="6"/>
        <v>-16068108.478926053</v>
      </c>
      <c r="H38" s="46">
        <f t="shared" si="2"/>
        <v>-1.9170469570988296</v>
      </c>
    </row>
    <row r="39" spans="1:8" x14ac:dyDescent="0.4">
      <c r="A39" s="40">
        <v>37</v>
      </c>
      <c r="B39" s="47">
        <f t="shared" si="3"/>
        <v>-16068108.478926053</v>
      </c>
      <c r="C39" s="48">
        <f t="shared" si="4"/>
        <v>10461071.567808805</v>
      </c>
      <c r="D39" s="48">
        <f t="shared" si="5"/>
        <v>-26529180.046734858</v>
      </c>
      <c r="E39" s="53">
        <f t="shared" si="0"/>
        <v>0.06</v>
      </c>
      <c r="F39" s="54">
        <f t="shared" si="1"/>
        <v>7.0000000000000007E-2</v>
      </c>
      <c r="G39" s="49">
        <f t="shared" si="6"/>
        <v>-28386222.650006302</v>
      </c>
      <c r="H39" s="46">
        <f t="shared" si="2"/>
        <v>-0.6510456150783962</v>
      </c>
    </row>
    <row r="40" spans="1:8" x14ac:dyDescent="0.4">
      <c r="A40" s="40">
        <v>38</v>
      </c>
      <c r="B40" s="47">
        <f t="shared" si="3"/>
        <v>-28386222.650006302</v>
      </c>
      <c r="C40" s="48">
        <f t="shared" si="4"/>
        <v>11088735.861877333</v>
      </c>
      <c r="D40" s="48">
        <f t="shared" si="5"/>
        <v>-39474958.511883631</v>
      </c>
      <c r="E40" s="53">
        <f t="shared" si="0"/>
        <v>0.06</v>
      </c>
      <c r="F40" s="54">
        <f t="shared" si="1"/>
        <v>7.0000000000000007E-2</v>
      </c>
      <c r="G40" s="49">
        <f t="shared" si="6"/>
        <v>-42238205.607715487</v>
      </c>
      <c r="H40" s="46">
        <f t="shared" si="2"/>
        <v>-0.39063795132582996</v>
      </c>
    </row>
    <row r="41" spans="1:8" x14ac:dyDescent="0.4">
      <c r="A41" s="40">
        <v>39</v>
      </c>
      <c r="B41" s="47">
        <f t="shared" si="3"/>
        <v>-42238205.607715487</v>
      </c>
      <c r="C41" s="48">
        <f t="shared" si="4"/>
        <v>11754060.013589974</v>
      </c>
      <c r="D41" s="48">
        <f t="shared" si="5"/>
        <v>-53992265.621305466</v>
      </c>
      <c r="E41" s="53">
        <f t="shared" si="0"/>
        <v>0.06</v>
      </c>
      <c r="F41" s="54">
        <f t="shared" si="1"/>
        <v>7.0000000000000007E-2</v>
      </c>
      <c r="G41" s="49">
        <f t="shared" si="6"/>
        <v>-57771724.214796849</v>
      </c>
      <c r="H41" s="46">
        <f t="shared" si="2"/>
        <v>-0.2782802878217655</v>
      </c>
    </row>
    <row r="42" spans="1:8" x14ac:dyDescent="0.4">
      <c r="A42" s="40">
        <v>40</v>
      </c>
      <c r="B42" s="47">
        <f t="shared" si="3"/>
        <v>-57771724.214796849</v>
      </c>
      <c r="C42" s="48">
        <f t="shared" si="4"/>
        <v>12459303.614405373</v>
      </c>
      <c r="D42" s="48">
        <f t="shared" si="5"/>
        <v>-70231027.82920222</v>
      </c>
      <c r="E42" s="53">
        <f t="shared" si="0"/>
        <v>0.06</v>
      </c>
      <c r="F42" s="54">
        <f t="shared" si="1"/>
        <v>7.0000000000000007E-2</v>
      </c>
      <c r="G42" s="49">
        <f t="shared" si="6"/>
        <v>-75147199.777246386</v>
      </c>
      <c r="H42" s="46">
        <f t="shared" si="2"/>
        <v>-0.21566438917559985</v>
      </c>
    </row>
    <row r="43" spans="1:8" x14ac:dyDescent="0.4">
      <c r="A43" s="40">
        <v>41</v>
      </c>
      <c r="B43" s="47">
        <f t="shared" si="3"/>
        <v>-75147199.777246386</v>
      </c>
      <c r="C43" s="48">
        <f t="shared" si="4"/>
        <v>13206861.831269696</v>
      </c>
      <c r="D43" s="48">
        <f t="shared" si="5"/>
        <v>-88354061.608516082</v>
      </c>
      <c r="E43" s="53">
        <f t="shared" si="0"/>
        <v>0.06</v>
      </c>
      <c r="F43" s="54">
        <f t="shared" si="1"/>
        <v>7.0000000000000007E-2</v>
      </c>
      <c r="G43" s="49">
        <f t="shared" si="6"/>
        <v>-94538845.92111221</v>
      </c>
      <c r="H43" s="46">
        <f t="shared" si="2"/>
        <v>-0.17574655969108466</v>
      </c>
    </row>
    <row r="44" spans="1:8" x14ac:dyDescent="0.4">
      <c r="A44" s="40">
        <v>42</v>
      </c>
      <c r="B44" s="47">
        <f t="shared" si="3"/>
        <v>-94538845.92111221</v>
      </c>
      <c r="C44" s="48">
        <f t="shared" si="4"/>
        <v>13999273.541145878</v>
      </c>
      <c r="D44" s="48">
        <f t="shared" si="5"/>
        <v>-108538119.46225809</v>
      </c>
      <c r="E44" s="53">
        <f t="shared" si="0"/>
        <v>0.06</v>
      </c>
      <c r="F44" s="54">
        <f t="shared" si="1"/>
        <v>7.0000000000000007E-2</v>
      </c>
      <c r="G44" s="49">
        <f t="shared" si="6"/>
        <v>-116135787.82461616</v>
      </c>
      <c r="H44" s="46">
        <f t="shared" si="2"/>
        <v>-0.14807958997963175</v>
      </c>
    </row>
    <row r="45" spans="1:8" x14ac:dyDescent="0.4">
      <c r="A45" s="40">
        <v>43</v>
      </c>
      <c r="B45" s="47">
        <f t="shared" si="3"/>
        <v>-116135787.82461616</v>
      </c>
      <c r="C45" s="48">
        <f t="shared" si="4"/>
        <v>14839229.953614632</v>
      </c>
      <c r="D45" s="48">
        <f t="shared" si="5"/>
        <v>-130975017.7782308</v>
      </c>
      <c r="E45" s="53">
        <f t="shared" si="0"/>
        <v>0.06</v>
      </c>
      <c r="F45" s="54">
        <f t="shared" si="1"/>
        <v>7.0000000000000007E-2</v>
      </c>
      <c r="G45" s="49">
        <f t="shared" si="6"/>
        <v>-140143269.02270696</v>
      </c>
      <c r="H45" s="46">
        <f t="shared" si="2"/>
        <v>-0.12777482489742328</v>
      </c>
    </row>
    <row r="46" spans="1:8" x14ac:dyDescent="0.4">
      <c r="A46" s="40">
        <v>44</v>
      </c>
      <c r="B46" s="47">
        <f t="shared" si="3"/>
        <v>-140143269.02270696</v>
      </c>
      <c r="C46" s="48">
        <f t="shared" si="4"/>
        <v>15729583.750831511</v>
      </c>
      <c r="D46" s="48">
        <f t="shared" si="5"/>
        <v>-155872852.77353847</v>
      </c>
      <c r="E46" s="53">
        <f t="shared" si="0"/>
        <v>0.06</v>
      </c>
      <c r="F46" s="54">
        <f t="shared" si="1"/>
        <v>7.0000000000000007E-2</v>
      </c>
      <c r="G46" s="49">
        <f t="shared" si="6"/>
        <v>-166783952.46768618</v>
      </c>
      <c r="H46" s="46">
        <f t="shared" si="2"/>
        <v>-0.11223930953318134</v>
      </c>
    </row>
    <row r="47" spans="1:8" x14ac:dyDescent="0.4">
      <c r="A47" s="40">
        <v>45</v>
      </c>
      <c r="B47" s="47">
        <f t="shared" si="3"/>
        <v>-166783952.46768618</v>
      </c>
      <c r="C47" s="48">
        <f t="shared" si="4"/>
        <v>16673358.775881402</v>
      </c>
      <c r="D47" s="48">
        <f t="shared" si="5"/>
        <v>-183457311.24356759</v>
      </c>
      <c r="E47" s="53">
        <f t="shared" si="0"/>
        <v>0.06</v>
      </c>
      <c r="F47" s="54">
        <f t="shared" si="1"/>
        <v>7.0000000000000007E-2</v>
      </c>
      <c r="G47" s="49">
        <f t="shared" si="6"/>
        <v>-196299323.03061733</v>
      </c>
      <c r="H47" s="46">
        <f t="shared" si="2"/>
        <v>-9.9969802425157239E-2</v>
      </c>
    </row>
    <row r="48" spans="1:8" x14ac:dyDescent="0.4">
      <c r="A48" s="40">
        <v>46</v>
      </c>
      <c r="B48" s="47">
        <f t="shared" si="3"/>
        <v>-196299323.03061733</v>
      </c>
      <c r="C48" s="48">
        <f t="shared" si="4"/>
        <v>17673760.302434288</v>
      </c>
      <c r="D48" s="48">
        <f t="shared" si="5"/>
        <v>-213973083.33305162</v>
      </c>
      <c r="E48" s="53">
        <f t="shared" si="0"/>
        <v>0.06</v>
      </c>
      <c r="F48" s="54">
        <f t="shared" si="1"/>
        <v>7.0000000000000007E-2</v>
      </c>
      <c r="G48" s="49">
        <f t="shared" si="6"/>
        <v>-228951199.16636524</v>
      </c>
      <c r="H48" s="46">
        <f t="shared" si="2"/>
        <v>-9.0034749124823343E-2</v>
      </c>
    </row>
    <row r="49" spans="1:8" x14ac:dyDescent="0.4">
      <c r="A49" s="40">
        <v>47</v>
      </c>
      <c r="B49" s="47">
        <f t="shared" si="3"/>
        <v>-228951199.16636524</v>
      </c>
      <c r="C49" s="48">
        <f t="shared" si="4"/>
        <v>18734185.920580346</v>
      </c>
      <c r="D49" s="48">
        <f t="shared" si="5"/>
        <v>-247685385.08694559</v>
      </c>
      <c r="E49" s="53">
        <f t="shared" si="0"/>
        <v>0.06</v>
      </c>
      <c r="F49" s="54">
        <f t="shared" si="1"/>
        <v>7.0000000000000007E-2</v>
      </c>
      <c r="G49" s="49">
        <f t="shared" si="6"/>
        <v>-265023362.04303181</v>
      </c>
      <c r="H49" s="46">
        <f t="shared" si="2"/>
        <v>-8.1826109619837925E-2</v>
      </c>
    </row>
    <row r="50" spans="1:8" x14ac:dyDescent="0.4">
      <c r="A50" s="40">
        <v>48</v>
      </c>
      <c r="B50" s="47">
        <f t="shared" si="3"/>
        <v>-265023362.04303181</v>
      </c>
      <c r="C50" s="48">
        <f t="shared" si="4"/>
        <v>19858237.075815167</v>
      </c>
      <c r="D50" s="48">
        <f t="shared" si="5"/>
        <v>-284881599.11884695</v>
      </c>
      <c r="E50" s="53">
        <f t="shared" si="0"/>
        <v>0.06</v>
      </c>
      <c r="F50" s="54">
        <f t="shared" si="1"/>
        <v>7.0000000000000007E-2</v>
      </c>
      <c r="G50" s="49">
        <f t="shared" si="6"/>
        <v>-304823311.05716628</v>
      </c>
      <c r="H50" s="46">
        <f t="shared" si="2"/>
        <v>-7.4930137942295014E-2</v>
      </c>
    </row>
    <row r="51" spans="1:8" x14ac:dyDescent="0.4">
      <c r="A51" s="40">
        <v>49</v>
      </c>
      <c r="B51" s="47">
        <f t="shared" si="3"/>
        <v>-304823311.05716628</v>
      </c>
      <c r="C51" s="48">
        <f t="shared" si="4"/>
        <v>21049731.300364077</v>
      </c>
      <c r="D51" s="48">
        <f t="shared" si="5"/>
        <v>-325873042.35753036</v>
      </c>
      <c r="E51" s="53">
        <f t="shared" si="0"/>
        <v>0.06</v>
      </c>
      <c r="F51" s="54">
        <f t="shared" si="1"/>
        <v>7.0000000000000007E-2</v>
      </c>
      <c r="G51" s="49">
        <f t="shared" si="6"/>
        <v>-348684155.32255751</v>
      </c>
      <c r="H51" s="46">
        <f t="shared" si="2"/>
        <v>-6.9055516874221054E-2</v>
      </c>
    </row>
    <row r="52" spans="1:8" x14ac:dyDescent="0.4">
      <c r="A52" s="40">
        <v>50</v>
      </c>
      <c r="B52" s="47">
        <f t="shared" si="3"/>
        <v>-348684155.32255751</v>
      </c>
      <c r="C52" s="48">
        <f t="shared" si="4"/>
        <v>22312715.178385925</v>
      </c>
      <c r="D52" s="48">
        <f t="shared" si="5"/>
        <v>-370996870.50094342</v>
      </c>
      <c r="E52" s="53">
        <f t="shared" si="0"/>
        <v>0.06</v>
      </c>
      <c r="F52" s="54">
        <f t="shared" si="1"/>
        <v>7.0000000000000007E-2</v>
      </c>
      <c r="G52" s="49">
        <f t="shared" si="6"/>
        <v>-396966651.43600947</v>
      </c>
      <c r="H52" s="46">
        <f t="shared" si="2"/>
        <v>-6.3991193284206119E-2</v>
      </c>
    </row>
    <row r="53" spans="1:8" x14ac:dyDescent="0.4">
      <c r="A53" s="40">
        <v>51</v>
      </c>
      <c r="B53" s="47">
        <f t="shared" si="3"/>
        <v>-396966651.43600947</v>
      </c>
      <c r="C53" s="48">
        <f t="shared" si="4"/>
        <v>23651478.089089081</v>
      </c>
      <c r="D53" s="48">
        <f t="shared" si="5"/>
        <v>-420618129.52509856</v>
      </c>
      <c r="E53" s="53">
        <f t="shared" si="0"/>
        <v>0.06</v>
      </c>
      <c r="F53" s="54">
        <f t="shared" si="1"/>
        <v>7.0000000000000007E-2</v>
      </c>
      <c r="G53" s="49">
        <f t="shared" si="6"/>
        <v>-450061398.59185547</v>
      </c>
      <c r="H53" s="46">
        <f t="shared" si="2"/>
        <v>-5.95805164074385E-2</v>
      </c>
    </row>
    <row r="54" spans="1:8" x14ac:dyDescent="0.4">
      <c r="A54" s="40">
        <v>52</v>
      </c>
      <c r="B54" s="47">
        <f t="shared" si="3"/>
        <v>-450061398.59185547</v>
      </c>
      <c r="C54" s="48">
        <f t="shared" si="4"/>
        <v>25070566.774434425</v>
      </c>
      <c r="D54" s="48">
        <f t="shared" si="5"/>
        <v>-475131965.36628991</v>
      </c>
      <c r="E54" s="53">
        <f t="shared" si="0"/>
        <v>0.06</v>
      </c>
      <c r="F54" s="54">
        <f t="shared" si="1"/>
        <v>7.0000000000000007E-2</v>
      </c>
      <c r="G54" s="49">
        <f t="shared" si="6"/>
        <v>-508391202.94193023</v>
      </c>
      <c r="H54" s="46">
        <f t="shared" si="2"/>
        <v>-5.5704770177746395E-2</v>
      </c>
    </row>
    <row r="55" spans="1:8" x14ac:dyDescent="0.4">
      <c r="A55" s="40">
        <v>53</v>
      </c>
      <c r="B55" s="47">
        <f t="shared" si="3"/>
        <v>-508391202.94193023</v>
      </c>
      <c r="C55" s="48">
        <f t="shared" si="4"/>
        <v>26574800.780900493</v>
      </c>
      <c r="D55" s="48">
        <f t="shared" si="5"/>
        <v>-534966003.72283071</v>
      </c>
      <c r="E55" s="53">
        <f t="shared" si="0"/>
        <v>0.06</v>
      </c>
      <c r="F55" s="54">
        <f t="shared" si="1"/>
        <v>7.0000000000000007E-2</v>
      </c>
      <c r="G55" s="49">
        <f t="shared" si="6"/>
        <v>-572413623.98342896</v>
      </c>
      <c r="H55" s="46">
        <f t="shared" si="2"/>
        <v>-5.227234583745529E-2</v>
      </c>
    </row>
  </sheetData>
  <sheetProtection algorithmName="SHA-512" hashValue="xAZdaK0Pk4MJ0oFrdR5ZHLI83soaVgLFQeuJe3oLUsmLl2NofqVKKwIeyN1Eyr/PdKpqgf5CcFFXVJAfT/e61A==" saltValue="lfPPUVjVFwu4Wdf1tF9WqA==" spinCount="100000" sheet="1" objects="1" scenarios="1"/>
  <mergeCells count="11">
    <mergeCell ref="I10:T10"/>
    <mergeCell ref="I11:T11"/>
    <mergeCell ref="I6:T6"/>
    <mergeCell ref="A1:H1"/>
    <mergeCell ref="M1:P3"/>
    <mergeCell ref="M4:P4"/>
    <mergeCell ref="I13:O14"/>
    <mergeCell ref="I16:O23"/>
    <mergeCell ref="I8:T8"/>
    <mergeCell ref="I7:T7"/>
    <mergeCell ref="I9:T9"/>
  </mergeCells>
  <hyperlinks>
    <hyperlink ref="M4:P4" r:id="rId1" display="Fixed-Fee Investment Adviser (SEBI RIA)" xr:uid="{8E291D00-1C5A-4A3D-9AF2-1FFC78B25F55}"/>
  </hyperlinks>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2CA18-A661-4894-9D49-42D7F49C298F}">
  <dimension ref="A1:AC62"/>
  <sheetViews>
    <sheetView topLeftCell="C2" workbookViewId="0">
      <selection activeCell="D2" sqref="D2"/>
    </sheetView>
  </sheetViews>
  <sheetFormatPr defaultRowHeight="16" x14ac:dyDescent="0.35"/>
  <cols>
    <col min="1" max="2" width="8.81640625" style="26" hidden="1" customWidth="1"/>
    <col min="3" max="3" width="28.1796875" style="26" bestFit="1" customWidth="1"/>
    <col min="4" max="4" width="17.6328125" style="26" bestFit="1" customWidth="1"/>
    <col min="5" max="11" width="8.7265625" style="26"/>
    <col min="12" max="12" width="22.7265625" style="26" customWidth="1"/>
    <col min="13" max="14" width="8.7265625" style="26"/>
    <col min="15" max="24" width="0" style="26" hidden="1" customWidth="1"/>
    <col min="25" max="25" width="9" style="26" hidden="1" customWidth="1"/>
    <col min="26" max="28" width="0" style="26" hidden="1" customWidth="1"/>
    <col min="29" max="29" width="11" style="26" hidden="1" customWidth="1"/>
    <col min="30" max="30" width="0" style="26" hidden="1" customWidth="1"/>
    <col min="31" max="16384" width="8.7265625" style="26"/>
  </cols>
  <sheetData>
    <row r="1" spans="1:29" x14ac:dyDescent="0.35">
      <c r="A1" s="28" t="s">
        <v>50</v>
      </c>
      <c r="B1" s="28"/>
      <c r="C1" s="28"/>
      <c r="D1" s="28"/>
      <c r="E1" s="28"/>
      <c r="I1" s="8"/>
      <c r="J1" s="8"/>
      <c r="K1" s="8"/>
      <c r="L1" s="8"/>
    </row>
    <row r="2" spans="1:29" x14ac:dyDescent="0.35">
      <c r="A2" s="29" t="s">
        <v>0</v>
      </c>
      <c r="B2" s="29" t="s">
        <v>7</v>
      </c>
      <c r="C2" s="29" t="s">
        <v>31</v>
      </c>
      <c r="D2" s="29" t="s">
        <v>25</v>
      </c>
      <c r="E2" s="29" t="s">
        <v>26</v>
      </c>
      <c r="I2" s="8"/>
      <c r="J2" s="8"/>
      <c r="K2" s="8"/>
      <c r="L2" s="8"/>
      <c r="AA2" s="26" t="s">
        <v>51</v>
      </c>
      <c r="AB2" s="26" t="s">
        <v>47</v>
      </c>
      <c r="AC2" s="26" t="s">
        <v>24</v>
      </c>
    </row>
    <row r="3" spans="1:29" x14ac:dyDescent="0.35">
      <c r="A3" s="29">
        <v>0</v>
      </c>
      <c r="B3" s="30">
        <f>'Retirement Amount'!F5-'Retirement Amount'!F4</f>
        <v>45</v>
      </c>
      <c r="C3" s="31">
        <f>'Retirement Amount'!B9</f>
        <v>60000</v>
      </c>
      <c r="D3" s="32">
        <f>ROUND(PV('Retirement Amount'!$F$12/12,B3*12,-C3),-5)/100000</f>
        <v>264</v>
      </c>
      <c r="E3" s="29">
        <f>'Retirement Amount'!$B$2</f>
        <v>40</v>
      </c>
      <c r="F3" s="33"/>
      <c r="I3" s="8"/>
      <c r="J3" s="8"/>
      <c r="K3" s="8"/>
      <c r="L3" s="8"/>
      <c r="AA3" s="26">
        <f>E3</f>
        <v>40</v>
      </c>
      <c r="AB3" s="57">
        <f>D3</f>
        <v>264</v>
      </c>
      <c r="AC3" s="58">
        <f>C3</f>
        <v>60000</v>
      </c>
    </row>
    <row r="4" spans="1:29" x14ac:dyDescent="0.4">
      <c r="A4" s="29">
        <v>1</v>
      </c>
      <c r="B4" s="30">
        <f t="shared" ref="B4:B35" si="0">B3-1</f>
        <v>44</v>
      </c>
      <c r="C4" s="31">
        <f t="shared" ref="C4:C35" si="1">ROUND(FV(6%,1,,-C3),-3)</f>
        <v>64000</v>
      </c>
      <c r="D4" s="32">
        <f>ROUND(PV('Retirement Amount'!$F$12/12,B4*12,-C4),-5)/100000</f>
        <v>276</v>
      </c>
      <c r="E4" s="29">
        <f t="shared" ref="E4:E35" si="2">E3+1</f>
        <v>41</v>
      </c>
      <c r="F4" s="33"/>
      <c r="I4" s="15" t="s">
        <v>34</v>
      </c>
      <c r="J4" s="15"/>
      <c r="K4" s="15"/>
      <c r="L4" s="15"/>
      <c r="AA4" s="26">
        <f t="shared" ref="AA4:AA62" si="3">E4</f>
        <v>41</v>
      </c>
      <c r="AB4" s="57">
        <f t="shared" ref="AB4:AB62" si="4">D4</f>
        <v>276</v>
      </c>
      <c r="AC4" s="58">
        <f t="shared" ref="AC4:AC62" si="5">C4</f>
        <v>64000</v>
      </c>
    </row>
    <row r="5" spans="1:29" x14ac:dyDescent="0.35">
      <c r="A5" s="29">
        <v>2</v>
      </c>
      <c r="B5" s="30">
        <f t="shared" si="0"/>
        <v>43</v>
      </c>
      <c r="C5" s="31">
        <f t="shared" si="1"/>
        <v>68000</v>
      </c>
      <c r="D5" s="32">
        <f>ROUND(PV('Retirement Amount'!$F$12/12,B5*12,-C5),-5)/100000</f>
        <v>288</v>
      </c>
      <c r="E5" s="29">
        <f t="shared" si="2"/>
        <v>42</v>
      </c>
      <c r="F5" s="76" t="s">
        <v>56</v>
      </c>
      <c r="G5" s="76"/>
      <c r="H5" s="76"/>
      <c r="I5" s="76"/>
      <c r="J5" s="76"/>
      <c r="K5" s="76"/>
      <c r="L5" s="76"/>
      <c r="AA5" s="26">
        <f t="shared" si="3"/>
        <v>42</v>
      </c>
      <c r="AB5" s="57">
        <f t="shared" si="4"/>
        <v>288</v>
      </c>
      <c r="AC5" s="58">
        <f t="shared" si="5"/>
        <v>68000</v>
      </c>
    </row>
    <row r="6" spans="1:29" x14ac:dyDescent="0.35">
      <c r="A6" s="29">
        <v>3</v>
      </c>
      <c r="B6" s="30">
        <f t="shared" si="0"/>
        <v>42</v>
      </c>
      <c r="C6" s="31">
        <f t="shared" si="1"/>
        <v>72000</v>
      </c>
      <c r="D6" s="32">
        <f>ROUND(PV('Retirement Amount'!$F$12/12,B6*12,-C6),-5)/100000</f>
        <v>300</v>
      </c>
      <c r="E6" s="29">
        <f t="shared" si="2"/>
        <v>43</v>
      </c>
      <c r="F6" s="76"/>
      <c r="G6" s="76"/>
      <c r="H6" s="76"/>
      <c r="I6" s="76"/>
      <c r="J6" s="76"/>
      <c r="K6" s="76"/>
      <c r="L6" s="76"/>
      <c r="P6" s="26" t="s">
        <v>45</v>
      </c>
      <c r="Q6" s="26">
        <f>E3</f>
        <v>40</v>
      </c>
      <c r="R6" s="26" t="s">
        <v>46</v>
      </c>
      <c r="S6" s="26">
        <f>E3</f>
        <v>40</v>
      </c>
      <c r="T6" s="26" t="s">
        <v>48</v>
      </c>
      <c r="U6" s="57">
        <f>D3</f>
        <v>264</v>
      </c>
      <c r="V6" s="26" t="s">
        <v>49</v>
      </c>
      <c r="X6" s="26" t="s">
        <v>26</v>
      </c>
      <c r="AA6" s="26">
        <f t="shared" si="3"/>
        <v>43</v>
      </c>
      <c r="AB6" s="57">
        <f t="shared" si="4"/>
        <v>300</v>
      </c>
      <c r="AC6" s="58">
        <f t="shared" si="5"/>
        <v>72000</v>
      </c>
    </row>
    <row r="7" spans="1:29" x14ac:dyDescent="0.35">
      <c r="A7" s="29">
        <v>4</v>
      </c>
      <c r="B7" s="30">
        <f t="shared" si="0"/>
        <v>41</v>
      </c>
      <c r="C7" s="31">
        <f t="shared" si="1"/>
        <v>76000</v>
      </c>
      <c r="D7" s="32">
        <f>ROUND(PV('Retirement Amount'!$F$12/12,B7*12,-C7),-5)/100000</f>
        <v>310</v>
      </c>
      <c r="E7" s="29">
        <f t="shared" si="2"/>
        <v>44</v>
      </c>
      <c r="F7" s="77" t="s">
        <v>44</v>
      </c>
      <c r="G7" s="77"/>
      <c r="H7" s="77"/>
      <c r="I7" s="77"/>
      <c r="J7" s="77"/>
      <c r="K7" s="77"/>
      <c r="L7" s="77"/>
      <c r="P7" s="26" t="s">
        <v>45</v>
      </c>
      <c r="Q7" s="26">
        <f>E3</f>
        <v>40</v>
      </c>
      <c r="R7" s="26" t="s">
        <v>46</v>
      </c>
      <c r="S7" s="26">
        <v>60</v>
      </c>
      <c r="T7" s="26" t="s">
        <v>48</v>
      </c>
      <c r="U7" s="26">
        <f>Y7</f>
        <v>516</v>
      </c>
      <c r="V7" s="26" t="s">
        <v>49</v>
      </c>
      <c r="X7" s="26">
        <v>60</v>
      </c>
      <c r="Y7" s="26">
        <f>VLOOKUP(X7,AA:AB,2)</f>
        <v>516</v>
      </c>
      <c r="AA7" s="26">
        <f t="shared" si="3"/>
        <v>44</v>
      </c>
      <c r="AB7" s="57">
        <f t="shared" si="4"/>
        <v>310</v>
      </c>
      <c r="AC7" s="58">
        <f t="shared" si="5"/>
        <v>76000</v>
      </c>
    </row>
    <row r="8" spans="1:29" ht="16" customHeight="1" x14ac:dyDescent="0.35">
      <c r="A8" s="29">
        <v>5</v>
      </c>
      <c r="B8" s="30">
        <f t="shared" si="0"/>
        <v>40</v>
      </c>
      <c r="C8" s="31">
        <f t="shared" si="1"/>
        <v>81000</v>
      </c>
      <c r="D8" s="32">
        <f>ROUND(PV('Retirement Amount'!$F$12/12,B8*12,-C8),-5)/100000</f>
        <v>324</v>
      </c>
      <c r="E8" s="29">
        <f t="shared" si="2"/>
        <v>45</v>
      </c>
      <c r="F8" s="59" t="str">
        <f>P6 &amp; " " &amp; TEXT(Q6, "0") &amp; " " &amp; R6 &amp; " " &amp; TEXT(S6, "0") &amp; " " &amp; T6 &amp; " " &amp; TEXT(U6, "0") &amp; " " &amp; V6</f>
        <v>If your current age is  40 and you want to retire at age 40 your retirement corpus would be 264 Lakhs</v>
      </c>
      <c r="G8" s="59"/>
      <c r="H8" s="59"/>
      <c r="I8" s="59"/>
      <c r="J8" s="59"/>
      <c r="K8" s="59"/>
      <c r="L8" s="59"/>
      <c r="P8" s="26" t="s">
        <v>52</v>
      </c>
      <c r="Q8" s="58">
        <f>C3</f>
        <v>60000</v>
      </c>
      <c r="R8" s="26" t="s">
        <v>46</v>
      </c>
      <c r="S8" s="26">
        <v>60</v>
      </c>
      <c r="T8" s="26" t="s">
        <v>53</v>
      </c>
      <c r="U8" s="26">
        <f>Y8</f>
        <v>193000</v>
      </c>
      <c r="X8" s="26">
        <v>60</v>
      </c>
      <c r="Y8" s="26">
        <f>VLOOKUP(X8,AA:AC,3)</f>
        <v>193000</v>
      </c>
      <c r="AA8" s="26">
        <f t="shared" si="3"/>
        <v>45</v>
      </c>
      <c r="AB8" s="57">
        <f t="shared" si="4"/>
        <v>324</v>
      </c>
      <c r="AC8" s="58">
        <f t="shared" si="5"/>
        <v>81000</v>
      </c>
    </row>
    <row r="9" spans="1:29" x14ac:dyDescent="0.35">
      <c r="A9" s="29">
        <v>6</v>
      </c>
      <c r="B9" s="30">
        <f t="shared" si="0"/>
        <v>39</v>
      </c>
      <c r="C9" s="31">
        <f t="shared" si="1"/>
        <v>86000</v>
      </c>
      <c r="D9" s="32">
        <f>ROUND(PV('Retirement Amount'!$F$12/12,B9*12,-C9),-5)/100000</f>
        <v>337</v>
      </c>
      <c r="E9" s="29">
        <f t="shared" si="2"/>
        <v>46</v>
      </c>
      <c r="F9" s="59"/>
      <c r="G9" s="59"/>
      <c r="H9" s="59"/>
      <c r="I9" s="59"/>
      <c r="J9" s="59"/>
      <c r="K9" s="59"/>
      <c r="L9" s="59"/>
      <c r="AA9" s="26">
        <f t="shared" si="3"/>
        <v>46</v>
      </c>
      <c r="AB9" s="57">
        <f t="shared" si="4"/>
        <v>337</v>
      </c>
      <c r="AC9" s="58">
        <f t="shared" si="5"/>
        <v>86000</v>
      </c>
    </row>
    <row r="10" spans="1:29" x14ac:dyDescent="0.35">
      <c r="A10" s="29">
        <v>7</v>
      </c>
      <c r="B10" s="30">
        <f t="shared" si="0"/>
        <v>38</v>
      </c>
      <c r="C10" s="31">
        <f t="shared" si="1"/>
        <v>91000</v>
      </c>
      <c r="D10" s="32">
        <f>ROUND(PV('Retirement Amount'!$F$12/12,B10*12,-C10),-5)/100000</f>
        <v>349</v>
      </c>
      <c r="E10" s="29">
        <f t="shared" si="2"/>
        <v>47</v>
      </c>
      <c r="F10" s="59" t="str">
        <f>P7&amp;" "&amp;TEXT(Q7,"0")&amp;" "&amp;R7&amp;" "&amp;TEXT(S7,"0")&amp;" "&amp;T7&amp;" "&amp;TEXT(U7,"0")&amp;" "&amp;V7</f>
        <v>If your current age is  40 and you want to retire at age 60 your retirement corpus would be 516 Lakhs</v>
      </c>
      <c r="G10" s="59"/>
      <c r="H10" s="59"/>
      <c r="I10" s="59"/>
      <c r="J10" s="59"/>
      <c r="K10" s="59"/>
      <c r="L10" s="59"/>
      <c r="AA10" s="26">
        <f t="shared" si="3"/>
        <v>47</v>
      </c>
      <c r="AB10" s="57">
        <f t="shared" si="4"/>
        <v>349</v>
      </c>
      <c r="AC10" s="58">
        <f t="shared" si="5"/>
        <v>91000</v>
      </c>
    </row>
    <row r="11" spans="1:29" x14ac:dyDescent="0.35">
      <c r="A11" s="29">
        <v>8</v>
      </c>
      <c r="B11" s="30">
        <f t="shared" si="0"/>
        <v>37</v>
      </c>
      <c r="C11" s="31">
        <f t="shared" si="1"/>
        <v>96000</v>
      </c>
      <c r="D11" s="32">
        <f>ROUND(PV('Retirement Amount'!$F$12/12,B11*12,-C11),-5)/100000</f>
        <v>360</v>
      </c>
      <c r="E11" s="29">
        <f t="shared" si="2"/>
        <v>48</v>
      </c>
      <c r="F11" s="59"/>
      <c r="G11" s="59"/>
      <c r="H11" s="59"/>
      <c r="I11" s="59"/>
      <c r="J11" s="59"/>
      <c r="K11" s="59"/>
      <c r="L11" s="59"/>
      <c r="AA11" s="26">
        <f t="shared" si="3"/>
        <v>48</v>
      </c>
      <c r="AB11" s="57">
        <f t="shared" si="4"/>
        <v>360</v>
      </c>
      <c r="AC11" s="58">
        <f t="shared" si="5"/>
        <v>96000</v>
      </c>
    </row>
    <row r="12" spans="1:29" x14ac:dyDescent="0.35">
      <c r="A12" s="29">
        <v>9</v>
      </c>
      <c r="B12" s="30">
        <f t="shared" si="0"/>
        <v>36</v>
      </c>
      <c r="C12" s="31">
        <f t="shared" si="1"/>
        <v>102000</v>
      </c>
      <c r="D12" s="32">
        <f>ROUND(PV('Retirement Amount'!$F$12/12,B12*12,-C12),-5)/100000</f>
        <v>373</v>
      </c>
      <c r="E12" s="29">
        <f t="shared" si="2"/>
        <v>49</v>
      </c>
      <c r="F12" s="78" t="s">
        <v>54</v>
      </c>
      <c r="G12" s="78"/>
      <c r="H12" s="78"/>
      <c r="I12" s="78"/>
      <c r="J12" s="78"/>
      <c r="K12" s="78"/>
      <c r="L12" s="78"/>
      <c r="AA12" s="26">
        <f t="shared" si="3"/>
        <v>49</v>
      </c>
      <c r="AB12" s="57">
        <f t="shared" si="4"/>
        <v>373</v>
      </c>
      <c r="AC12" s="58">
        <f t="shared" si="5"/>
        <v>102000</v>
      </c>
    </row>
    <row r="13" spans="1:29" x14ac:dyDescent="0.35">
      <c r="A13" s="29">
        <v>10</v>
      </c>
      <c r="B13" s="30">
        <f t="shared" si="0"/>
        <v>35</v>
      </c>
      <c r="C13" s="31">
        <f t="shared" si="1"/>
        <v>108000</v>
      </c>
      <c r="D13" s="32">
        <f>ROUND(PV('Retirement Amount'!$F$12/12,B13*12,-C13),-5)/100000</f>
        <v>386</v>
      </c>
      <c r="E13" s="29">
        <f t="shared" si="2"/>
        <v>50</v>
      </c>
      <c r="F13" s="79" t="str">
        <f>P8 &amp; " " &amp; TEXT(Q8, "0") &amp; " " &amp; R8 &amp; " " &amp; TEXT(S8, "0") &amp; " " &amp; T8 &amp; " " &amp; TEXT(U8, "0")</f>
        <v>If your current retirement expenses are 60000 and you want to retire at age 60 your retirement expenses will increase to 193000</v>
      </c>
      <c r="G13" s="79"/>
      <c r="H13" s="79"/>
      <c r="I13" s="79"/>
      <c r="J13" s="79"/>
      <c r="K13" s="79"/>
      <c r="L13" s="79"/>
      <c r="AA13" s="26">
        <f t="shared" si="3"/>
        <v>50</v>
      </c>
      <c r="AB13" s="57">
        <f t="shared" si="4"/>
        <v>386</v>
      </c>
      <c r="AC13" s="58">
        <f t="shared" si="5"/>
        <v>108000</v>
      </c>
    </row>
    <row r="14" spans="1:29" x14ac:dyDescent="0.35">
      <c r="A14" s="29">
        <v>11</v>
      </c>
      <c r="B14" s="30">
        <f t="shared" si="0"/>
        <v>34</v>
      </c>
      <c r="C14" s="31">
        <f t="shared" si="1"/>
        <v>114000</v>
      </c>
      <c r="D14" s="32">
        <f>ROUND(PV('Retirement Amount'!$F$12/12,B14*12,-C14),-5)/100000</f>
        <v>398</v>
      </c>
      <c r="E14" s="29">
        <f t="shared" si="2"/>
        <v>51</v>
      </c>
      <c r="F14" s="79"/>
      <c r="G14" s="79"/>
      <c r="H14" s="79"/>
      <c r="I14" s="79"/>
      <c r="J14" s="79"/>
      <c r="K14" s="79"/>
      <c r="L14" s="79"/>
      <c r="AA14" s="26">
        <f t="shared" si="3"/>
        <v>51</v>
      </c>
      <c r="AB14" s="57">
        <f t="shared" si="4"/>
        <v>398</v>
      </c>
      <c r="AC14" s="58">
        <f t="shared" si="5"/>
        <v>114000</v>
      </c>
    </row>
    <row r="15" spans="1:29" ht="16" customHeight="1" x14ac:dyDescent="0.35">
      <c r="A15" s="29">
        <v>12</v>
      </c>
      <c r="B15" s="30">
        <f t="shared" si="0"/>
        <v>33</v>
      </c>
      <c r="C15" s="31">
        <f t="shared" si="1"/>
        <v>121000</v>
      </c>
      <c r="D15" s="32">
        <f>ROUND(PV('Retirement Amount'!$F$12/12,B15*12,-C15),-5)/100000</f>
        <v>412</v>
      </c>
      <c r="E15" s="29">
        <f t="shared" si="2"/>
        <v>52</v>
      </c>
      <c r="F15" s="35" t="s">
        <v>39</v>
      </c>
      <c r="G15" s="36"/>
      <c r="H15" s="36"/>
      <c r="I15" s="36"/>
      <c r="J15" s="36"/>
      <c r="K15" s="36"/>
      <c r="L15" s="36"/>
      <c r="AA15" s="26">
        <f t="shared" si="3"/>
        <v>52</v>
      </c>
      <c r="AB15" s="57">
        <f t="shared" si="4"/>
        <v>412</v>
      </c>
      <c r="AC15" s="58">
        <f t="shared" si="5"/>
        <v>121000</v>
      </c>
    </row>
    <row r="16" spans="1:29" x14ac:dyDescent="0.35">
      <c r="A16" s="29">
        <v>13</v>
      </c>
      <c r="B16" s="30">
        <f t="shared" si="0"/>
        <v>32</v>
      </c>
      <c r="C16" s="31">
        <f t="shared" si="1"/>
        <v>128000</v>
      </c>
      <c r="D16" s="32">
        <f>ROUND(PV('Retirement Amount'!$F$12/12,B16*12,-C16),-5)/100000</f>
        <v>424</v>
      </c>
      <c r="E16" s="29">
        <f t="shared" si="2"/>
        <v>53</v>
      </c>
      <c r="F16" s="37"/>
      <c r="G16" s="38"/>
      <c r="H16" s="38"/>
      <c r="I16" s="38"/>
      <c r="J16" s="38"/>
      <c r="K16" s="38"/>
      <c r="L16" s="38"/>
      <c r="AA16" s="26">
        <f t="shared" si="3"/>
        <v>53</v>
      </c>
      <c r="AB16" s="57">
        <f t="shared" si="4"/>
        <v>424</v>
      </c>
      <c r="AC16" s="58">
        <f t="shared" si="5"/>
        <v>128000</v>
      </c>
    </row>
    <row r="17" spans="1:29" x14ac:dyDescent="0.35">
      <c r="A17" s="29">
        <v>14</v>
      </c>
      <c r="B17" s="30">
        <f t="shared" si="0"/>
        <v>31</v>
      </c>
      <c r="C17" s="31">
        <f t="shared" si="1"/>
        <v>136000</v>
      </c>
      <c r="D17" s="32">
        <f>ROUND(PV('Retirement Amount'!$F$12/12,B17*12,-C17),-5)/100000</f>
        <v>439</v>
      </c>
      <c r="E17" s="29">
        <f t="shared" si="2"/>
        <v>54</v>
      </c>
      <c r="F17" s="80"/>
      <c r="G17" s="81"/>
      <c r="H17" s="81"/>
      <c r="I17" s="81"/>
      <c r="J17" s="81"/>
      <c r="K17" s="81"/>
      <c r="L17" s="82"/>
      <c r="AA17" s="26">
        <f t="shared" si="3"/>
        <v>54</v>
      </c>
      <c r="AB17" s="57">
        <f t="shared" si="4"/>
        <v>439</v>
      </c>
      <c r="AC17" s="58">
        <f t="shared" si="5"/>
        <v>136000</v>
      </c>
    </row>
    <row r="18" spans="1:29" x14ac:dyDescent="0.35">
      <c r="A18" s="29">
        <v>15</v>
      </c>
      <c r="B18" s="30">
        <f t="shared" si="0"/>
        <v>30</v>
      </c>
      <c r="C18" s="31">
        <f t="shared" si="1"/>
        <v>144000</v>
      </c>
      <c r="D18" s="32">
        <f>ROUND(PV('Retirement Amount'!$F$12/12,B18*12,-C18),-5)/100000</f>
        <v>451</v>
      </c>
      <c r="E18" s="29">
        <f t="shared" si="2"/>
        <v>55</v>
      </c>
      <c r="F18" s="34" t="s">
        <v>36</v>
      </c>
      <c r="G18" s="34"/>
      <c r="H18" s="34"/>
      <c r="I18" s="34"/>
      <c r="J18" s="34"/>
      <c r="K18" s="34"/>
      <c r="L18" s="34"/>
      <c r="AA18" s="26">
        <f t="shared" si="3"/>
        <v>55</v>
      </c>
      <c r="AB18" s="57">
        <f t="shared" si="4"/>
        <v>451</v>
      </c>
      <c r="AC18" s="58">
        <f t="shared" si="5"/>
        <v>144000</v>
      </c>
    </row>
    <row r="19" spans="1:29" x14ac:dyDescent="0.35">
      <c r="A19" s="29">
        <v>16</v>
      </c>
      <c r="B19" s="30">
        <f t="shared" si="0"/>
        <v>29</v>
      </c>
      <c r="C19" s="31">
        <f t="shared" si="1"/>
        <v>153000</v>
      </c>
      <c r="D19" s="32">
        <f>ROUND(PV('Retirement Amount'!$F$12/12,B19*12,-C19),-5)/100000</f>
        <v>466</v>
      </c>
      <c r="E19" s="29">
        <f t="shared" si="2"/>
        <v>56</v>
      </c>
      <c r="F19" s="34"/>
      <c r="G19" s="34"/>
      <c r="H19" s="34"/>
      <c r="I19" s="34"/>
      <c r="J19" s="34"/>
      <c r="K19" s="34"/>
      <c r="L19" s="34"/>
      <c r="AA19" s="26">
        <f t="shared" si="3"/>
        <v>56</v>
      </c>
      <c r="AB19" s="57">
        <f t="shared" si="4"/>
        <v>466</v>
      </c>
      <c r="AC19" s="58">
        <f t="shared" si="5"/>
        <v>153000</v>
      </c>
    </row>
    <row r="20" spans="1:29" x14ac:dyDescent="0.35">
      <c r="A20" s="29">
        <v>17</v>
      </c>
      <c r="B20" s="30">
        <f t="shared" si="0"/>
        <v>28</v>
      </c>
      <c r="C20" s="31">
        <f t="shared" si="1"/>
        <v>162000</v>
      </c>
      <c r="D20" s="32">
        <f>ROUND(PV('Retirement Amount'!$F$12/12,B20*12,-C20),-5)/100000</f>
        <v>478</v>
      </c>
      <c r="E20" s="29">
        <f t="shared" si="2"/>
        <v>57</v>
      </c>
      <c r="F20" s="34"/>
      <c r="G20" s="34"/>
      <c r="H20" s="34"/>
      <c r="I20" s="34"/>
      <c r="J20" s="34"/>
      <c r="K20" s="34"/>
      <c r="L20" s="34"/>
      <c r="AA20" s="26">
        <f t="shared" si="3"/>
        <v>57</v>
      </c>
      <c r="AB20" s="57">
        <f t="shared" si="4"/>
        <v>478</v>
      </c>
      <c r="AC20" s="58">
        <f t="shared" si="5"/>
        <v>162000</v>
      </c>
    </row>
    <row r="21" spans="1:29" ht="16" customHeight="1" x14ac:dyDescent="0.35">
      <c r="A21" s="29">
        <v>18</v>
      </c>
      <c r="B21" s="30">
        <f t="shared" si="0"/>
        <v>27</v>
      </c>
      <c r="C21" s="31">
        <f t="shared" si="1"/>
        <v>172000</v>
      </c>
      <c r="D21" s="32">
        <f>ROUND(PV('Retirement Amount'!$F$12/12,B21*12,-C21),-5)/100000</f>
        <v>492</v>
      </c>
      <c r="E21" s="29">
        <f t="shared" si="2"/>
        <v>58</v>
      </c>
      <c r="F21" s="19" t="s">
        <v>37</v>
      </c>
      <c r="G21" s="19"/>
      <c r="H21" s="19"/>
      <c r="I21" s="19"/>
      <c r="J21" s="19"/>
      <c r="K21" s="19"/>
      <c r="L21" s="19"/>
      <c r="AA21" s="26">
        <f t="shared" si="3"/>
        <v>58</v>
      </c>
      <c r="AB21" s="57">
        <f t="shared" si="4"/>
        <v>492</v>
      </c>
      <c r="AC21" s="58">
        <f t="shared" si="5"/>
        <v>172000</v>
      </c>
    </row>
    <row r="22" spans="1:29" x14ac:dyDescent="0.35">
      <c r="A22" s="29">
        <v>19</v>
      </c>
      <c r="B22" s="30">
        <f t="shared" si="0"/>
        <v>26</v>
      </c>
      <c r="C22" s="31">
        <f t="shared" si="1"/>
        <v>182000</v>
      </c>
      <c r="D22" s="32">
        <f>ROUND(PV('Retirement Amount'!$F$12/12,B22*12,-C22),-5)/100000</f>
        <v>503</v>
      </c>
      <c r="E22" s="29">
        <f t="shared" si="2"/>
        <v>59</v>
      </c>
      <c r="F22" s="19"/>
      <c r="G22" s="19"/>
      <c r="H22" s="19"/>
      <c r="I22" s="19"/>
      <c r="J22" s="19"/>
      <c r="K22" s="19"/>
      <c r="L22" s="19"/>
      <c r="AA22" s="26">
        <f t="shared" si="3"/>
        <v>59</v>
      </c>
      <c r="AB22" s="57">
        <f t="shared" si="4"/>
        <v>503</v>
      </c>
      <c r="AC22" s="58">
        <f t="shared" si="5"/>
        <v>182000</v>
      </c>
    </row>
    <row r="23" spans="1:29" x14ac:dyDescent="0.35">
      <c r="A23" s="29">
        <v>20</v>
      </c>
      <c r="B23" s="30">
        <f t="shared" si="0"/>
        <v>25</v>
      </c>
      <c r="C23" s="31">
        <f t="shared" si="1"/>
        <v>193000</v>
      </c>
      <c r="D23" s="32">
        <f>ROUND(PV('Retirement Amount'!$F$12/12,B23*12,-C23),-5)/100000</f>
        <v>516</v>
      </c>
      <c r="E23" s="29">
        <f t="shared" si="2"/>
        <v>60</v>
      </c>
      <c r="F23" s="19"/>
      <c r="G23" s="19"/>
      <c r="H23" s="19"/>
      <c r="I23" s="19"/>
      <c r="J23" s="19"/>
      <c r="K23" s="19"/>
      <c r="L23" s="19"/>
      <c r="AA23" s="26">
        <f t="shared" si="3"/>
        <v>60</v>
      </c>
      <c r="AB23" s="57">
        <f t="shared" si="4"/>
        <v>516</v>
      </c>
      <c r="AC23" s="58">
        <f t="shared" si="5"/>
        <v>193000</v>
      </c>
    </row>
    <row r="24" spans="1:29" x14ac:dyDescent="0.35">
      <c r="A24" s="29">
        <v>21</v>
      </c>
      <c r="B24" s="30">
        <f t="shared" si="0"/>
        <v>24</v>
      </c>
      <c r="C24" s="31">
        <f t="shared" si="1"/>
        <v>205000</v>
      </c>
      <c r="D24" s="32">
        <f>ROUND(PV('Retirement Amount'!$F$12/12,B24*12,-C24),-5)/100000</f>
        <v>528</v>
      </c>
      <c r="E24" s="29">
        <f t="shared" si="2"/>
        <v>61</v>
      </c>
      <c r="F24" s="19"/>
      <c r="G24" s="19"/>
      <c r="H24" s="19"/>
      <c r="I24" s="19"/>
      <c r="J24" s="19"/>
      <c r="K24" s="19"/>
      <c r="L24" s="19"/>
      <c r="AA24" s="26">
        <f t="shared" si="3"/>
        <v>61</v>
      </c>
      <c r="AB24" s="57">
        <f t="shared" si="4"/>
        <v>528</v>
      </c>
      <c r="AC24" s="58">
        <f t="shared" si="5"/>
        <v>205000</v>
      </c>
    </row>
    <row r="25" spans="1:29" x14ac:dyDescent="0.35">
      <c r="A25" s="29">
        <v>22</v>
      </c>
      <c r="B25" s="30">
        <f t="shared" si="0"/>
        <v>23</v>
      </c>
      <c r="C25" s="31">
        <f t="shared" si="1"/>
        <v>217000</v>
      </c>
      <c r="D25" s="32">
        <f>ROUND(PV('Retirement Amount'!$F$12/12,B25*12,-C25),-5)/100000</f>
        <v>538</v>
      </c>
      <c r="E25" s="29">
        <f t="shared" si="2"/>
        <v>62</v>
      </c>
      <c r="F25" s="19"/>
      <c r="G25" s="19"/>
      <c r="H25" s="19"/>
      <c r="I25" s="19"/>
      <c r="J25" s="19"/>
      <c r="K25" s="19"/>
      <c r="L25" s="19"/>
      <c r="AA25" s="26">
        <f t="shared" si="3"/>
        <v>62</v>
      </c>
      <c r="AB25" s="57">
        <f t="shared" si="4"/>
        <v>538</v>
      </c>
      <c r="AC25" s="58">
        <f t="shared" si="5"/>
        <v>217000</v>
      </c>
    </row>
    <row r="26" spans="1:29" x14ac:dyDescent="0.35">
      <c r="A26" s="29">
        <v>23</v>
      </c>
      <c r="B26" s="30">
        <f t="shared" si="0"/>
        <v>22</v>
      </c>
      <c r="C26" s="31">
        <f t="shared" si="1"/>
        <v>230000</v>
      </c>
      <c r="D26" s="32">
        <f>ROUND(PV('Retirement Amount'!$F$12/12,B26*12,-C26),-5)/100000</f>
        <v>548</v>
      </c>
      <c r="E26" s="29">
        <f t="shared" si="2"/>
        <v>63</v>
      </c>
      <c r="F26" s="19"/>
      <c r="G26" s="19"/>
      <c r="H26" s="19"/>
      <c r="I26" s="19"/>
      <c r="J26" s="19"/>
      <c r="K26" s="19"/>
      <c r="L26" s="19"/>
      <c r="AA26" s="26">
        <f t="shared" si="3"/>
        <v>63</v>
      </c>
      <c r="AB26" s="57">
        <f t="shared" si="4"/>
        <v>548</v>
      </c>
      <c r="AC26" s="58">
        <f t="shared" si="5"/>
        <v>230000</v>
      </c>
    </row>
    <row r="27" spans="1:29" x14ac:dyDescent="0.35">
      <c r="A27" s="29">
        <v>24</v>
      </c>
      <c r="B27" s="30">
        <f t="shared" si="0"/>
        <v>21</v>
      </c>
      <c r="C27" s="31">
        <f t="shared" si="1"/>
        <v>244000</v>
      </c>
      <c r="D27" s="32">
        <f>ROUND(PV('Retirement Amount'!$F$12/12,B27*12,-C27),-5)/100000</f>
        <v>558</v>
      </c>
      <c r="E27" s="29">
        <f t="shared" si="2"/>
        <v>64</v>
      </c>
      <c r="F27" s="19"/>
      <c r="G27" s="19"/>
      <c r="H27" s="19"/>
      <c r="I27" s="19"/>
      <c r="J27" s="19"/>
      <c r="K27" s="19"/>
      <c r="L27" s="19"/>
      <c r="AA27" s="26">
        <f t="shared" si="3"/>
        <v>64</v>
      </c>
      <c r="AB27" s="57">
        <f t="shared" si="4"/>
        <v>558</v>
      </c>
      <c r="AC27" s="58">
        <f t="shared" si="5"/>
        <v>244000</v>
      </c>
    </row>
    <row r="28" spans="1:29" x14ac:dyDescent="0.35">
      <c r="A28" s="29">
        <v>25</v>
      </c>
      <c r="B28" s="30">
        <f t="shared" si="0"/>
        <v>20</v>
      </c>
      <c r="C28" s="31">
        <f t="shared" si="1"/>
        <v>259000</v>
      </c>
      <c r="D28" s="32">
        <f>ROUND(PV('Retirement Amount'!$F$12/12,B28*12,-C28),-5)/100000</f>
        <v>566</v>
      </c>
      <c r="E28" s="29">
        <f t="shared" si="2"/>
        <v>65</v>
      </c>
      <c r="F28" s="19"/>
      <c r="G28" s="19"/>
      <c r="H28" s="19"/>
      <c r="I28" s="19"/>
      <c r="J28" s="19"/>
      <c r="K28" s="19"/>
      <c r="L28" s="19"/>
      <c r="AA28" s="26">
        <f t="shared" si="3"/>
        <v>65</v>
      </c>
      <c r="AB28" s="57">
        <f t="shared" si="4"/>
        <v>566</v>
      </c>
      <c r="AC28" s="58">
        <f t="shared" si="5"/>
        <v>259000</v>
      </c>
    </row>
    <row r="29" spans="1:29" x14ac:dyDescent="0.35">
      <c r="A29" s="29">
        <v>26</v>
      </c>
      <c r="B29" s="30">
        <f t="shared" si="0"/>
        <v>19</v>
      </c>
      <c r="C29" s="31">
        <f t="shared" si="1"/>
        <v>275000</v>
      </c>
      <c r="D29" s="32">
        <f>ROUND(PV('Retirement Amount'!$F$12/12,B29*12,-C29),-5)/100000</f>
        <v>574</v>
      </c>
      <c r="E29" s="29">
        <f t="shared" si="2"/>
        <v>66</v>
      </c>
      <c r="AA29" s="26">
        <f t="shared" si="3"/>
        <v>66</v>
      </c>
      <c r="AB29" s="57">
        <f t="shared" si="4"/>
        <v>574</v>
      </c>
      <c r="AC29" s="58">
        <f t="shared" si="5"/>
        <v>275000</v>
      </c>
    </row>
    <row r="30" spans="1:29" x14ac:dyDescent="0.35">
      <c r="A30" s="29">
        <v>27</v>
      </c>
      <c r="B30" s="30">
        <f t="shared" si="0"/>
        <v>18</v>
      </c>
      <c r="C30" s="31">
        <f t="shared" si="1"/>
        <v>292000</v>
      </c>
      <c r="D30" s="32">
        <f>ROUND(PV('Retirement Amount'!$F$12/12,B30*12,-C30),-5)/100000</f>
        <v>580</v>
      </c>
      <c r="E30" s="29">
        <f t="shared" si="2"/>
        <v>67</v>
      </c>
      <c r="AA30" s="26">
        <f t="shared" si="3"/>
        <v>67</v>
      </c>
      <c r="AB30" s="57">
        <f t="shared" si="4"/>
        <v>580</v>
      </c>
      <c r="AC30" s="58">
        <f t="shared" si="5"/>
        <v>292000</v>
      </c>
    </row>
    <row r="31" spans="1:29" x14ac:dyDescent="0.35">
      <c r="A31" s="29">
        <v>28</v>
      </c>
      <c r="B31" s="30">
        <f t="shared" si="0"/>
        <v>17</v>
      </c>
      <c r="C31" s="31">
        <f t="shared" si="1"/>
        <v>310000</v>
      </c>
      <c r="D31" s="32">
        <f>ROUND(PV('Retirement Amount'!$F$12/12,B31*12,-C31),-5)/100000</f>
        <v>584</v>
      </c>
      <c r="E31" s="29">
        <f t="shared" si="2"/>
        <v>68</v>
      </c>
      <c r="F31" s="33"/>
      <c r="AA31" s="26">
        <f t="shared" si="3"/>
        <v>68</v>
      </c>
      <c r="AB31" s="57">
        <f t="shared" si="4"/>
        <v>584</v>
      </c>
      <c r="AC31" s="58">
        <f t="shared" si="5"/>
        <v>310000</v>
      </c>
    </row>
    <row r="32" spans="1:29" x14ac:dyDescent="0.35">
      <c r="A32" s="29">
        <v>29</v>
      </c>
      <c r="B32" s="30">
        <f t="shared" si="0"/>
        <v>16</v>
      </c>
      <c r="C32" s="31">
        <f t="shared" si="1"/>
        <v>329000</v>
      </c>
      <c r="D32" s="32">
        <f>ROUND(PV('Retirement Amount'!$F$12/12,B32*12,-C32),-5)/100000</f>
        <v>586</v>
      </c>
      <c r="E32" s="29">
        <f t="shared" si="2"/>
        <v>69</v>
      </c>
      <c r="F32" s="33"/>
      <c r="AA32" s="26">
        <f t="shared" si="3"/>
        <v>69</v>
      </c>
      <c r="AB32" s="57">
        <f t="shared" si="4"/>
        <v>586</v>
      </c>
      <c r="AC32" s="58">
        <f t="shared" si="5"/>
        <v>329000</v>
      </c>
    </row>
    <row r="33" spans="1:29" x14ac:dyDescent="0.35">
      <c r="A33" s="29">
        <v>30</v>
      </c>
      <c r="B33" s="30">
        <f t="shared" si="0"/>
        <v>15</v>
      </c>
      <c r="C33" s="31">
        <f t="shared" si="1"/>
        <v>349000</v>
      </c>
      <c r="D33" s="32">
        <f>ROUND(PV('Retirement Amount'!$F$12/12,B33*12,-C33),-5)/100000</f>
        <v>586</v>
      </c>
      <c r="E33" s="29">
        <f t="shared" si="2"/>
        <v>70</v>
      </c>
      <c r="F33" s="33"/>
      <c r="AA33" s="26">
        <f t="shared" si="3"/>
        <v>70</v>
      </c>
      <c r="AB33" s="57">
        <f t="shared" si="4"/>
        <v>586</v>
      </c>
      <c r="AC33" s="58">
        <f t="shared" si="5"/>
        <v>349000</v>
      </c>
    </row>
    <row r="34" spans="1:29" x14ac:dyDescent="0.35">
      <c r="A34" s="29">
        <v>31</v>
      </c>
      <c r="B34" s="30">
        <f t="shared" si="0"/>
        <v>14</v>
      </c>
      <c r="C34" s="31">
        <f t="shared" si="1"/>
        <v>370000</v>
      </c>
      <c r="D34" s="32">
        <f>ROUND(PV('Retirement Amount'!$F$12/12,B34*12,-C34),-5)/100000</f>
        <v>582</v>
      </c>
      <c r="E34" s="29">
        <f t="shared" si="2"/>
        <v>71</v>
      </c>
      <c r="F34" s="33"/>
      <c r="AA34" s="26">
        <f t="shared" si="3"/>
        <v>71</v>
      </c>
      <c r="AB34" s="57">
        <f t="shared" si="4"/>
        <v>582</v>
      </c>
      <c r="AC34" s="58">
        <f t="shared" si="5"/>
        <v>370000</v>
      </c>
    </row>
    <row r="35" spans="1:29" x14ac:dyDescent="0.35">
      <c r="A35" s="29">
        <v>32</v>
      </c>
      <c r="B35" s="30">
        <f t="shared" si="0"/>
        <v>13</v>
      </c>
      <c r="C35" s="31">
        <f t="shared" si="1"/>
        <v>392000</v>
      </c>
      <c r="D35" s="32">
        <f>ROUND(PV('Retirement Amount'!$F$12/12,B35*12,-C35),-5)/100000</f>
        <v>575</v>
      </c>
      <c r="E35" s="29">
        <f t="shared" si="2"/>
        <v>72</v>
      </c>
      <c r="F35" s="33"/>
      <c r="AA35" s="26">
        <f t="shared" si="3"/>
        <v>72</v>
      </c>
      <c r="AB35" s="57">
        <f t="shared" si="4"/>
        <v>575</v>
      </c>
      <c r="AC35" s="58">
        <f t="shared" si="5"/>
        <v>392000</v>
      </c>
    </row>
    <row r="36" spans="1:29" x14ac:dyDescent="0.35">
      <c r="A36" s="29">
        <v>33</v>
      </c>
      <c r="B36" s="30">
        <f t="shared" ref="B36:B62" si="6">B35-1</f>
        <v>12</v>
      </c>
      <c r="C36" s="31">
        <f t="shared" ref="C36:C62" si="7">ROUND(FV(6%,1,,-C35),-3)</f>
        <v>416000</v>
      </c>
      <c r="D36" s="32">
        <f>ROUND(PV('Retirement Amount'!$F$12/12,B36*12,-C36),-5)/100000</f>
        <v>566</v>
      </c>
      <c r="E36" s="29">
        <f t="shared" ref="E36:E62" si="8">E35+1</f>
        <v>73</v>
      </c>
      <c r="F36" s="33"/>
      <c r="AA36" s="26">
        <f t="shared" si="3"/>
        <v>73</v>
      </c>
      <c r="AB36" s="57">
        <f t="shared" si="4"/>
        <v>566</v>
      </c>
      <c r="AC36" s="58">
        <f t="shared" si="5"/>
        <v>416000</v>
      </c>
    </row>
    <row r="37" spans="1:29" x14ac:dyDescent="0.35">
      <c r="A37" s="29">
        <v>34</v>
      </c>
      <c r="B37" s="30">
        <f t="shared" si="6"/>
        <v>11</v>
      </c>
      <c r="C37" s="31">
        <f t="shared" si="7"/>
        <v>441000</v>
      </c>
      <c r="D37" s="32">
        <f>ROUND(PV('Retirement Amount'!$F$12/12,B37*12,-C37),-5)/100000</f>
        <v>553</v>
      </c>
      <c r="E37" s="29">
        <f t="shared" si="8"/>
        <v>74</v>
      </c>
      <c r="F37" s="33"/>
      <c r="AA37" s="26">
        <f t="shared" si="3"/>
        <v>74</v>
      </c>
      <c r="AB37" s="57">
        <f t="shared" si="4"/>
        <v>553</v>
      </c>
      <c r="AC37" s="58">
        <f t="shared" si="5"/>
        <v>441000</v>
      </c>
    </row>
    <row r="38" spans="1:29" x14ac:dyDescent="0.35">
      <c r="A38" s="29">
        <v>35</v>
      </c>
      <c r="B38" s="30">
        <f t="shared" si="6"/>
        <v>10</v>
      </c>
      <c r="C38" s="31">
        <f t="shared" si="7"/>
        <v>467000</v>
      </c>
      <c r="D38" s="32">
        <f>ROUND(PV('Retirement Amount'!$F$12/12,B38*12,-C38),-5)/100000</f>
        <v>535</v>
      </c>
      <c r="E38" s="29">
        <f t="shared" si="8"/>
        <v>75</v>
      </c>
      <c r="F38" s="33"/>
      <c r="AA38" s="26">
        <f t="shared" si="3"/>
        <v>75</v>
      </c>
      <c r="AB38" s="57">
        <f t="shared" si="4"/>
        <v>535</v>
      </c>
      <c r="AC38" s="58">
        <f t="shared" si="5"/>
        <v>467000</v>
      </c>
    </row>
    <row r="39" spans="1:29" x14ac:dyDescent="0.35">
      <c r="A39" s="29">
        <v>36</v>
      </c>
      <c r="B39" s="30">
        <f t="shared" si="6"/>
        <v>9</v>
      </c>
      <c r="C39" s="31">
        <f t="shared" si="7"/>
        <v>495000</v>
      </c>
      <c r="D39" s="32">
        <f>ROUND(PV('Retirement Amount'!$F$12/12,B39*12,-C39),-5)/100000</f>
        <v>512</v>
      </c>
      <c r="E39" s="29">
        <f t="shared" si="8"/>
        <v>76</v>
      </c>
      <c r="F39" s="33"/>
      <c r="AA39" s="26">
        <f t="shared" si="3"/>
        <v>76</v>
      </c>
      <c r="AB39" s="57">
        <f t="shared" si="4"/>
        <v>512</v>
      </c>
      <c r="AC39" s="58">
        <f t="shared" si="5"/>
        <v>495000</v>
      </c>
    </row>
    <row r="40" spans="1:29" x14ac:dyDescent="0.35">
      <c r="A40" s="29">
        <v>37</v>
      </c>
      <c r="B40" s="30">
        <f t="shared" si="6"/>
        <v>8</v>
      </c>
      <c r="C40" s="31">
        <f t="shared" si="7"/>
        <v>525000</v>
      </c>
      <c r="D40" s="32">
        <f>ROUND(PV('Retirement Amount'!$F$12/12,B40*12,-C40),-5)/100000</f>
        <v>485</v>
      </c>
      <c r="E40" s="29">
        <f t="shared" si="8"/>
        <v>77</v>
      </c>
      <c r="F40" s="33"/>
      <c r="AA40" s="26">
        <f t="shared" si="3"/>
        <v>77</v>
      </c>
      <c r="AB40" s="57">
        <f t="shared" si="4"/>
        <v>485</v>
      </c>
      <c r="AC40" s="58">
        <f t="shared" si="5"/>
        <v>525000</v>
      </c>
    </row>
    <row r="41" spans="1:29" x14ac:dyDescent="0.35">
      <c r="A41" s="29">
        <v>38</v>
      </c>
      <c r="B41" s="30">
        <f t="shared" si="6"/>
        <v>7</v>
      </c>
      <c r="C41" s="31">
        <f t="shared" si="7"/>
        <v>557000</v>
      </c>
      <c r="D41" s="32">
        <f>ROUND(PV('Retirement Amount'!$F$12/12,B41*12,-C41),-5)/100000</f>
        <v>453</v>
      </c>
      <c r="E41" s="29">
        <f t="shared" si="8"/>
        <v>78</v>
      </c>
      <c r="F41" s="33"/>
      <c r="AA41" s="26">
        <f t="shared" si="3"/>
        <v>78</v>
      </c>
      <c r="AB41" s="57">
        <f t="shared" si="4"/>
        <v>453</v>
      </c>
      <c r="AC41" s="58">
        <f t="shared" si="5"/>
        <v>557000</v>
      </c>
    </row>
    <row r="42" spans="1:29" x14ac:dyDescent="0.35">
      <c r="A42" s="29">
        <v>39</v>
      </c>
      <c r="B42" s="30">
        <f t="shared" si="6"/>
        <v>6</v>
      </c>
      <c r="C42" s="31">
        <f t="shared" si="7"/>
        <v>590000</v>
      </c>
      <c r="D42" s="32">
        <f>ROUND(PV('Retirement Amount'!$F$12/12,B42*12,-C42),-5)/100000</f>
        <v>413</v>
      </c>
      <c r="E42" s="29">
        <f t="shared" si="8"/>
        <v>79</v>
      </c>
      <c r="F42" s="33"/>
      <c r="AA42" s="26">
        <f t="shared" si="3"/>
        <v>79</v>
      </c>
      <c r="AB42" s="57">
        <f t="shared" si="4"/>
        <v>413</v>
      </c>
      <c r="AC42" s="58">
        <f t="shared" si="5"/>
        <v>590000</v>
      </c>
    </row>
    <row r="43" spans="1:29" x14ac:dyDescent="0.35">
      <c r="A43" s="29">
        <v>40</v>
      </c>
      <c r="B43" s="30">
        <f t="shared" si="6"/>
        <v>5</v>
      </c>
      <c r="C43" s="31">
        <f t="shared" si="7"/>
        <v>625000</v>
      </c>
      <c r="D43" s="32">
        <f>ROUND(PV('Retirement Amount'!$F$12/12,B43*12,-C43),-5)/100000</f>
        <v>366</v>
      </c>
      <c r="E43" s="29">
        <f t="shared" si="8"/>
        <v>80</v>
      </c>
      <c r="F43" s="33"/>
      <c r="AA43" s="26">
        <f t="shared" si="3"/>
        <v>80</v>
      </c>
      <c r="AB43" s="57">
        <f t="shared" si="4"/>
        <v>366</v>
      </c>
      <c r="AC43" s="58">
        <f t="shared" si="5"/>
        <v>625000</v>
      </c>
    </row>
    <row r="44" spans="1:29" x14ac:dyDescent="0.35">
      <c r="A44" s="29">
        <v>41</v>
      </c>
      <c r="B44" s="30">
        <f t="shared" si="6"/>
        <v>4</v>
      </c>
      <c r="C44" s="31">
        <f t="shared" si="7"/>
        <v>663000</v>
      </c>
      <c r="D44" s="32">
        <f>ROUND(PV('Retirement Amount'!$F$12/12,B44*12,-C44),-5)/100000</f>
        <v>312</v>
      </c>
      <c r="E44" s="29">
        <f t="shared" si="8"/>
        <v>81</v>
      </c>
      <c r="F44" s="33"/>
      <c r="AA44" s="26">
        <f t="shared" si="3"/>
        <v>81</v>
      </c>
      <c r="AB44" s="57">
        <f t="shared" si="4"/>
        <v>312</v>
      </c>
      <c r="AC44" s="58">
        <f t="shared" si="5"/>
        <v>663000</v>
      </c>
    </row>
    <row r="45" spans="1:29" x14ac:dyDescent="0.35">
      <c r="A45" s="29">
        <v>42</v>
      </c>
      <c r="B45" s="30">
        <f t="shared" si="6"/>
        <v>3</v>
      </c>
      <c r="C45" s="31">
        <f t="shared" si="7"/>
        <v>703000</v>
      </c>
      <c r="D45" s="32">
        <f>ROUND(PV('Retirement Amount'!$F$12/12,B45*12,-C45),-5)/100000</f>
        <v>249</v>
      </c>
      <c r="E45" s="29">
        <f t="shared" si="8"/>
        <v>82</v>
      </c>
      <c r="F45" s="33"/>
      <c r="AA45" s="26">
        <f t="shared" si="3"/>
        <v>82</v>
      </c>
      <c r="AB45" s="57">
        <f t="shared" si="4"/>
        <v>249</v>
      </c>
      <c r="AC45" s="58">
        <f t="shared" si="5"/>
        <v>703000</v>
      </c>
    </row>
    <row r="46" spans="1:29" x14ac:dyDescent="0.35">
      <c r="A46" s="29">
        <v>43</v>
      </c>
      <c r="B46" s="30">
        <f t="shared" si="6"/>
        <v>2</v>
      </c>
      <c r="C46" s="31">
        <f t="shared" si="7"/>
        <v>745000</v>
      </c>
      <c r="D46" s="32">
        <f>ROUND(PV('Retirement Amount'!$F$12/12,B46*12,-C46),-5)/100000</f>
        <v>177</v>
      </c>
      <c r="E46" s="29">
        <f t="shared" si="8"/>
        <v>83</v>
      </c>
      <c r="F46" s="33"/>
      <c r="AA46" s="26">
        <f t="shared" si="3"/>
        <v>83</v>
      </c>
      <c r="AB46" s="57">
        <f t="shared" si="4"/>
        <v>177</v>
      </c>
      <c r="AC46" s="58">
        <f t="shared" si="5"/>
        <v>745000</v>
      </c>
    </row>
    <row r="47" spans="1:29" x14ac:dyDescent="0.35">
      <c r="A47" s="29">
        <v>44</v>
      </c>
      <c r="B47" s="30">
        <f t="shared" si="6"/>
        <v>1</v>
      </c>
      <c r="C47" s="31">
        <f t="shared" si="7"/>
        <v>790000</v>
      </c>
      <c r="D47" s="32">
        <f>ROUND(PV('Retirement Amount'!$F$12/12,B47*12,-C47),-5)/100000</f>
        <v>94</v>
      </c>
      <c r="E47" s="29">
        <f t="shared" si="8"/>
        <v>84</v>
      </c>
      <c r="F47" s="33"/>
      <c r="AA47" s="26">
        <f t="shared" si="3"/>
        <v>84</v>
      </c>
      <c r="AB47" s="57">
        <f t="shared" si="4"/>
        <v>94</v>
      </c>
      <c r="AC47" s="58">
        <f t="shared" si="5"/>
        <v>790000</v>
      </c>
    </row>
    <row r="48" spans="1:29" x14ac:dyDescent="0.35">
      <c r="A48" s="29">
        <v>45</v>
      </c>
      <c r="B48" s="30">
        <f t="shared" si="6"/>
        <v>0</v>
      </c>
      <c r="C48" s="31">
        <f t="shared" si="7"/>
        <v>837000</v>
      </c>
      <c r="D48" s="32">
        <f>ROUND(PV('Retirement Amount'!$F$12/12,B48*12,-C48),-5)/100000</f>
        <v>0</v>
      </c>
      <c r="E48" s="29">
        <f t="shared" si="8"/>
        <v>85</v>
      </c>
      <c r="F48" s="33"/>
      <c r="AA48" s="26">
        <f t="shared" si="3"/>
        <v>85</v>
      </c>
      <c r="AB48" s="57">
        <f t="shared" si="4"/>
        <v>0</v>
      </c>
      <c r="AC48" s="58">
        <f t="shared" si="5"/>
        <v>837000</v>
      </c>
    </row>
    <row r="49" spans="1:29" x14ac:dyDescent="0.35">
      <c r="A49" s="29">
        <v>46</v>
      </c>
      <c r="B49" s="30">
        <f t="shared" si="6"/>
        <v>-1</v>
      </c>
      <c r="C49" s="31">
        <f t="shared" si="7"/>
        <v>887000</v>
      </c>
      <c r="D49" s="32">
        <f>ROUND(PV('Retirement Amount'!$F$12/12,B49*12,-C49),-5)/100000</f>
        <v>-107</v>
      </c>
      <c r="E49" s="29">
        <f t="shared" si="8"/>
        <v>86</v>
      </c>
      <c r="F49" s="33"/>
      <c r="AA49" s="26">
        <f t="shared" si="3"/>
        <v>86</v>
      </c>
      <c r="AB49" s="57">
        <f t="shared" si="4"/>
        <v>-107</v>
      </c>
      <c r="AC49" s="58">
        <f t="shared" si="5"/>
        <v>887000</v>
      </c>
    </row>
    <row r="50" spans="1:29" x14ac:dyDescent="0.35">
      <c r="A50" s="29">
        <v>47</v>
      </c>
      <c r="B50" s="30">
        <f t="shared" si="6"/>
        <v>-2</v>
      </c>
      <c r="C50" s="31">
        <f t="shared" si="7"/>
        <v>940000</v>
      </c>
      <c r="D50" s="32">
        <f>ROUND(PV('Retirement Amount'!$F$12/12,B50*12,-C50),-5)/100000</f>
        <v>-228</v>
      </c>
      <c r="E50" s="29">
        <f t="shared" si="8"/>
        <v>87</v>
      </c>
      <c r="F50" s="33"/>
      <c r="AA50" s="26">
        <f t="shared" si="3"/>
        <v>87</v>
      </c>
      <c r="AB50" s="57">
        <f t="shared" si="4"/>
        <v>-228</v>
      </c>
      <c r="AC50" s="58">
        <f t="shared" si="5"/>
        <v>940000</v>
      </c>
    </row>
    <row r="51" spans="1:29" x14ac:dyDescent="0.35">
      <c r="A51" s="29">
        <v>48</v>
      </c>
      <c r="B51" s="30">
        <f t="shared" si="6"/>
        <v>-3</v>
      </c>
      <c r="C51" s="31">
        <f t="shared" si="7"/>
        <v>996000</v>
      </c>
      <c r="D51" s="32">
        <f>ROUND(PV('Retirement Amount'!$F$12/12,B51*12,-C51),-5)/100000</f>
        <v>-364</v>
      </c>
      <c r="E51" s="29">
        <f t="shared" si="8"/>
        <v>88</v>
      </c>
      <c r="F51" s="33"/>
      <c r="AA51" s="26">
        <f t="shared" si="3"/>
        <v>88</v>
      </c>
      <c r="AB51" s="57">
        <f t="shared" si="4"/>
        <v>-364</v>
      </c>
      <c r="AC51" s="58">
        <f t="shared" si="5"/>
        <v>996000</v>
      </c>
    </row>
    <row r="52" spans="1:29" x14ac:dyDescent="0.35">
      <c r="A52" s="29">
        <v>49</v>
      </c>
      <c r="B52" s="30">
        <f t="shared" si="6"/>
        <v>-4</v>
      </c>
      <c r="C52" s="31">
        <f t="shared" si="7"/>
        <v>1056000</v>
      </c>
      <c r="D52" s="32">
        <f>ROUND(PV('Retirement Amount'!$F$12/12,B52*12,-C52),-5)/100000</f>
        <v>-516</v>
      </c>
      <c r="E52" s="29">
        <f t="shared" si="8"/>
        <v>89</v>
      </c>
      <c r="F52" s="33"/>
      <c r="AA52" s="26">
        <f t="shared" si="3"/>
        <v>89</v>
      </c>
      <c r="AB52" s="57">
        <f t="shared" si="4"/>
        <v>-516</v>
      </c>
      <c r="AC52" s="58">
        <f t="shared" si="5"/>
        <v>1056000</v>
      </c>
    </row>
    <row r="53" spans="1:29" x14ac:dyDescent="0.35">
      <c r="A53" s="29">
        <v>50</v>
      </c>
      <c r="B53" s="30">
        <f t="shared" si="6"/>
        <v>-5</v>
      </c>
      <c r="C53" s="31">
        <f t="shared" si="7"/>
        <v>1119000</v>
      </c>
      <c r="D53" s="32">
        <f>ROUND(PV('Retirement Amount'!$F$12/12,B53*12,-C53),-5)/100000</f>
        <v>-687</v>
      </c>
      <c r="E53" s="29">
        <f t="shared" si="8"/>
        <v>90</v>
      </c>
      <c r="F53" s="33"/>
      <c r="AA53" s="26">
        <f t="shared" si="3"/>
        <v>90</v>
      </c>
      <c r="AB53" s="57">
        <f t="shared" si="4"/>
        <v>-687</v>
      </c>
      <c r="AC53" s="58">
        <f t="shared" si="5"/>
        <v>1119000</v>
      </c>
    </row>
    <row r="54" spans="1:29" x14ac:dyDescent="0.35">
      <c r="A54" s="29">
        <v>51</v>
      </c>
      <c r="B54" s="30">
        <f t="shared" si="6"/>
        <v>-6</v>
      </c>
      <c r="C54" s="31">
        <f t="shared" si="7"/>
        <v>1186000</v>
      </c>
      <c r="D54" s="32">
        <f>ROUND(PV('Retirement Amount'!$F$12/12,B54*12,-C54),-5)/100000</f>
        <v>-878</v>
      </c>
      <c r="E54" s="29">
        <f t="shared" si="8"/>
        <v>91</v>
      </c>
      <c r="F54" s="33"/>
      <c r="AA54" s="26">
        <f t="shared" si="3"/>
        <v>91</v>
      </c>
      <c r="AB54" s="57">
        <f t="shared" si="4"/>
        <v>-878</v>
      </c>
      <c r="AC54" s="58">
        <f t="shared" si="5"/>
        <v>1186000</v>
      </c>
    </row>
    <row r="55" spans="1:29" x14ac:dyDescent="0.35">
      <c r="A55" s="29">
        <v>52</v>
      </c>
      <c r="B55" s="30">
        <f t="shared" si="6"/>
        <v>-7</v>
      </c>
      <c r="C55" s="31">
        <f t="shared" si="7"/>
        <v>1257000</v>
      </c>
      <c r="D55" s="32">
        <f>ROUND(PV('Retirement Amount'!$F$12/12,B55*12,-C55),-5)/100000</f>
        <v>-1091</v>
      </c>
      <c r="E55" s="29">
        <f t="shared" si="8"/>
        <v>92</v>
      </c>
      <c r="F55" s="33"/>
      <c r="AA55" s="26">
        <f t="shared" si="3"/>
        <v>92</v>
      </c>
      <c r="AB55" s="57">
        <f t="shared" si="4"/>
        <v>-1091</v>
      </c>
      <c r="AC55" s="58">
        <f t="shared" si="5"/>
        <v>1257000</v>
      </c>
    </row>
    <row r="56" spans="1:29" x14ac:dyDescent="0.35">
      <c r="A56" s="29">
        <v>53</v>
      </c>
      <c r="B56" s="30">
        <f t="shared" si="6"/>
        <v>-8</v>
      </c>
      <c r="C56" s="31">
        <f t="shared" si="7"/>
        <v>1332000</v>
      </c>
      <c r="D56" s="32">
        <f>ROUND(PV('Retirement Amount'!$F$12/12,B56*12,-C56),-5)/100000</f>
        <v>-1328</v>
      </c>
      <c r="E56" s="29">
        <f t="shared" si="8"/>
        <v>93</v>
      </c>
      <c r="F56" s="33"/>
      <c r="AA56" s="26">
        <f t="shared" si="3"/>
        <v>93</v>
      </c>
      <c r="AB56" s="57">
        <f t="shared" si="4"/>
        <v>-1328</v>
      </c>
      <c r="AC56" s="58">
        <f t="shared" si="5"/>
        <v>1332000</v>
      </c>
    </row>
    <row r="57" spans="1:29" x14ac:dyDescent="0.35">
      <c r="A57" s="29">
        <v>54</v>
      </c>
      <c r="B57" s="30">
        <f t="shared" si="6"/>
        <v>-9</v>
      </c>
      <c r="C57" s="31">
        <f t="shared" si="7"/>
        <v>1412000</v>
      </c>
      <c r="D57" s="32">
        <f>ROUND(PV('Retirement Amount'!$F$12/12,B57*12,-C57),-5)/100000</f>
        <v>-1591</v>
      </c>
      <c r="E57" s="29">
        <f t="shared" si="8"/>
        <v>94</v>
      </c>
      <c r="F57" s="33"/>
      <c r="AA57" s="26">
        <f t="shared" si="3"/>
        <v>94</v>
      </c>
      <c r="AB57" s="57">
        <f t="shared" si="4"/>
        <v>-1591</v>
      </c>
      <c r="AC57" s="58">
        <f t="shared" si="5"/>
        <v>1412000</v>
      </c>
    </row>
    <row r="58" spans="1:29" x14ac:dyDescent="0.35">
      <c r="A58" s="29">
        <v>55</v>
      </c>
      <c r="B58" s="30">
        <f t="shared" si="6"/>
        <v>-10</v>
      </c>
      <c r="C58" s="31">
        <f t="shared" si="7"/>
        <v>1497000</v>
      </c>
      <c r="D58" s="32">
        <f>ROUND(PV('Retirement Amount'!$F$12/12,B58*12,-C58),-5)/100000</f>
        <v>-1883</v>
      </c>
      <c r="E58" s="29">
        <f t="shared" si="8"/>
        <v>95</v>
      </c>
      <c r="F58" s="33"/>
      <c r="AA58" s="26">
        <f t="shared" si="3"/>
        <v>95</v>
      </c>
      <c r="AB58" s="57">
        <f t="shared" si="4"/>
        <v>-1883</v>
      </c>
      <c r="AC58" s="58">
        <f t="shared" si="5"/>
        <v>1497000</v>
      </c>
    </row>
    <row r="59" spans="1:29" x14ac:dyDescent="0.35">
      <c r="A59" s="29">
        <v>56</v>
      </c>
      <c r="B59" s="30">
        <f t="shared" si="6"/>
        <v>-11</v>
      </c>
      <c r="C59" s="31">
        <f t="shared" si="7"/>
        <v>1587000</v>
      </c>
      <c r="D59" s="32">
        <f>ROUND(PV('Retirement Amount'!$F$12/12,B59*12,-C59),-5)/100000</f>
        <v>-2206</v>
      </c>
      <c r="E59" s="29">
        <f t="shared" si="8"/>
        <v>96</v>
      </c>
      <c r="F59" s="33"/>
      <c r="AA59" s="26">
        <f t="shared" si="3"/>
        <v>96</v>
      </c>
      <c r="AB59" s="57">
        <f t="shared" si="4"/>
        <v>-2206</v>
      </c>
      <c r="AC59" s="58">
        <f t="shared" si="5"/>
        <v>1587000</v>
      </c>
    </row>
    <row r="60" spans="1:29" x14ac:dyDescent="0.35">
      <c r="A60" s="29">
        <v>57</v>
      </c>
      <c r="B60" s="30">
        <f t="shared" si="6"/>
        <v>-12</v>
      </c>
      <c r="C60" s="31">
        <f t="shared" si="7"/>
        <v>1682000</v>
      </c>
      <c r="D60" s="32">
        <f>ROUND(PV('Retirement Amount'!$F$12/12,B60*12,-C60),-5)/100000</f>
        <v>-2563</v>
      </c>
      <c r="E60" s="29">
        <f t="shared" si="8"/>
        <v>97</v>
      </c>
      <c r="F60" s="33"/>
      <c r="AA60" s="26">
        <f t="shared" si="3"/>
        <v>97</v>
      </c>
      <c r="AB60" s="57">
        <f t="shared" si="4"/>
        <v>-2563</v>
      </c>
      <c r="AC60" s="58">
        <f t="shared" si="5"/>
        <v>1682000</v>
      </c>
    </row>
    <row r="61" spans="1:29" x14ac:dyDescent="0.35">
      <c r="A61" s="29">
        <v>58</v>
      </c>
      <c r="B61" s="30">
        <f t="shared" si="6"/>
        <v>-13</v>
      </c>
      <c r="C61" s="31">
        <f t="shared" si="7"/>
        <v>1783000</v>
      </c>
      <c r="D61" s="32">
        <f>ROUND(PV('Retirement Amount'!$F$12/12,B61*12,-C61),-5)/100000</f>
        <v>-2958</v>
      </c>
      <c r="E61" s="29">
        <f t="shared" si="8"/>
        <v>98</v>
      </c>
      <c r="F61" s="33"/>
      <c r="AA61" s="26">
        <f t="shared" si="3"/>
        <v>98</v>
      </c>
      <c r="AB61" s="57">
        <f t="shared" si="4"/>
        <v>-2958</v>
      </c>
      <c r="AC61" s="58">
        <f t="shared" si="5"/>
        <v>1783000</v>
      </c>
    </row>
    <row r="62" spans="1:29" x14ac:dyDescent="0.35">
      <c r="A62" s="29">
        <v>59</v>
      </c>
      <c r="B62" s="30">
        <f t="shared" si="6"/>
        <v>-14</v>
      </c>
      <c r="C62" s="31">
        <f t="shared" si="7"/>
        <v>1890000</v>
      </c>
      <c r="D62" s="32">
        <f>ROUND(PV('Retirement Amount'!$F$12/12,B62*12,-C62),-5)/100000</f>
        <v>-3393</v>
      </c>
      <c r="E62" s="29">
        <f t="shared" si="8"/>
        <v>99</v>
      </c>
      <c r="F62" s="33"/>
      <c r="AA62" s="26">
        <f t="shared" si="3"/>
        <v>99</v>
      </c>
      <c r="AB62" s="57">
        <f t="shared" si="4"/>
        <v>-3393</v>
      </c>
      <c r="AC62" s="58">
        <f t="shared" si="5"/>
        <v>1890000</v>
      </c>
    </row>
  </sheetData>
  <sheetProtection algorithmName="SHA-512" hashValue="KiNBIupnFYxJqwHC2+fiSExOZotG8+r41e6JBwMZK8WTMcF62nUvgnq9L2I8Y/0l0WEPLeNPcATAyXaDbzhxgg==" saltValue="GIXZ0Sx2hZyIanyl666vsw==" spinCount="100000" sheet="1" objects="1" scenarios="1"/>
  <mergeCells count="13">
    <mergeCell ref="F18:L20"/>
    <mergeCell ref="F21:L28"/>
    <mergeCell ref="F15:L16"/>
    <mergeCell ref="F17:L17"/>
    <mergeCell ref="A1:E1"/>
    <mergeCell ref="I1:L3"/>
    <mergeCell ref="I4:L4"/>
    <mergeCell ref="F7:L7"/>
    <mergeCell ref="F8:L9"/>
    <mergeCell ref="F10:L11"/>
    <mergeCell ref="F12:L12"/>
    <mergeCell ref="F5:L6"/>
    <mergeCell ref="F13:L14"/>
  </mergeCells>
  <hyperlinks>
    <hyperlink ref="I4:L4" r:id="rId1" display="Fixed-Fee Investment Adviser (SEBI RIA)" xr:uid="{2B19A395-F0DC-40EC-A2F4-14A3CA97AF03}"/>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Retirement Amount</vt:lpstr>
      <vt:lpstr>Cash Flow after retirement</vt:lpstr>
      <vt:lpstr>FIRE 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Ajay Pruthi</dc:creator>
  <cp:lastModifiedBy>Ajay Pruthi</cp:lastModifiedBy>
  <dcterms:created xsi:type="dcterms:W3CDTF">2025-09-17T14:18:47Z</dcterms:created>
  <dcterms:modified xsi:type="dcterms:W3CDTF">2025-11-07T07:00:27Z</dcterms:modified>
</cp:coreProperties>
</file>